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Движимое\"/>
    </mc:Choice>
  </mc:AlternateContent>
  <xr:revisionPtr revIDLastSave="0" documentId="13_ncr:1_{E0D8A613-1EB6-4C8A-A03A-C580BD169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ВАЯ_5.2.1.9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C30" i="3"/>
  <c r="K21" i="3"/>
  <c r="I21" i="3"/>
  <c r="C55" i="3"/>
  <c r="C56" i="3" s="1"/>
  <c r="C20" i="3" s="1"/>
  <c r="C43" i="3"/>
  <c r="C47" i="3"/>
  <c r="C22" i="3"/>
  <c r="F21" i="3"/>
  <c r="E21" i="3"/>
  <c r="B30" i="3" s="1"/>
  <c r="I20" i="3"/>
  <c r="F20" i="3"/>
  <c r="E20" i="3"/>
  <c r="I19" i="3"/>
  <c r="F19" i="3"/>
  <c r="E19" i="3"/>
  <c r="F16" i="3"/>
  <c r="C26" i="3" s="1"/>
  <c r="E16" i="3"/>
  <c r="B26" i="3" s="1"/>
  <c r="C16" i="3"/>
  <c r="F15" i="3"/>
  <c r="C25" i="3" s="1"/>
  <c r="E15" i="3"/>
  <c r="B25" i="3" s="1"/>
  <c r="C15" i="3"/>
  <c r="E14" i="3"/>
  <c r="B24" i="3" s="1"/>
  <c r="C48" i="3" l="1"/>
  <c r="C50" i="3" s="1"/>
  <c r="H3" i="3" s="1"/>
  <c r="F14" i="3" s="1"/>
  <c r="C24" i="3" s="1"/>
  <c r="C23" i="3" s="1"/>
  <c r="C31" i="3" s="1"/>
  <c r="C17" i="3"/>
  <c r="C18" i="3" s="1"/>
  <c r="C29" i="3"/>
  <c r="C28" i="3"/>
  <c r="C27" i="3" l="1"/>
  <c r="C32" i="3" s="1"/>
  <c r="C33" i="3" s="1"/>
  <c r="C34" i="3" l="1"/>
</calcChain>
</file>

<file path=xl/sharedStrings.xml><?xml version="1.0" encoding="utf-8"?>
<sst xmlns="http://schemas.openxmlformats.org/spreadsheetml/2006/main" count="209" uniqueCount="123">
  <si>
    <t>№ п/п</t>
  </si>
  <si>
    <t>Наименование</t>
  </si>
  <si>
    <t>3.1.</t>
  </si>
  <si>
    <t>3.2.</t>
  </si>
  <si>
    <t>Значение</t>
  </si>
  <si>
    <t>1.1.</t>
  </si>
  <si>
    <t>Эффективный возраст, лет</t>
  </si>
  <si>
    <t>1.2.</t>
  </si>
  <si>
    <t>Нормативный срок службы, лет</t>
  </si>
  <si>
    <t>1.3.</t>
  </si>
  <si>
    <t>2.6.</t>
  </si>
  <si>
    <t>Расчет экономического устаревания</t>
  </si>
  <si>
    <t>3.3.</t>
  </si>
  <si>
    <t>3.4.</t>
  </si>
  <si>
    <t>Экономическое устаревание, %</t>
  </si>
  <si>
    <t>Остаточный срок службы, лет</t>
  </si>
  <si>
    <t>Рыночная стоимость всех операционных активов по доходному подходу, млн. руб.</t>
  </si>
  <si>
    <t>3.2.1.</t>
  </si>
  <si>
    <t>3.2.2.</t>
  </si>
  <si>
    <t>3.2.3.</t>
  </si>
  <si>
    <t>3.3.1.</t>
  </si>
  <si>
    <t>3.3.2.</t>
  </si>
  <si>
    <t>3.3.3.</t>
  </si>
  <si>
    <t xml:space="preserve">Стоимость рыночная </t>
  </si>
  <si>
    <t>Стоимость рыночная (дано)</t>
  </si>
  <si>
    <t>ЭВ</t>
  </si>
  <si>
    <t>Первоначальная стоимость</t>
  </si>
  <si>
    <t>Дата приобретения</t>
  </si>
  <si>
    <t xml:space="preserve">НДС в стоимости </t>
  </si>
  <si>
    <t>нет</t>
  </si>
  <si>
    <t>Операционные / неоперационные</t>
  </si>
  <si>
    <t>неоперационные</t>
  </si>
  <si>
    <t>Операционные</t>
  </si>
  <si>
    <t>Специализированные / неспециализированные</t>
  </si>
  <si>
    <t>специализированные</t>
  </si>
  <si>
    <t>неспециализированные</t>
  </si>
  <si>
    <t>ПВС на дату оценки</t>
  </si>
  <si>
    <t>Индекс 2001-2018</t>
  </si>
  <si>
    <t>Индекс 2001-2013</t>
  </si>
  <si>
    <t>всё в млн рублей</t>
  </si>
  <si>
    <t>Дата оценки 01/01/2018</t>
  </si>
  <si>
    <t>Срок службы</t>
  </si>
  <si>
    <t>есть</t>
  </si>
  <si>
    <t>доп. сведения</t>
  </si>
  <si>
    <t xml:space="preserve"> Физический износ 20% активов (в стоимостном выражении) составляет 20%, 30 % активов – 30%, 50% активов – 50%.</t>
  </si>
  <si>
    <t>начало 2013</t>
  </si>
  <si>
    <t>Стоимость определена доходным подходом</t>
  </si>
  <si>
    <t>Остаточный срок службы</t>
  </si>
  <si>
    <r>
      <t>Операционные (</t>
    </r>
    <r>
      <rPr>
        <b/>
        <sz val="8"/>
        <color theme="1"/>
        <rFont val="Calibri"/>
        <family val="2"/>
        <charset val="204"/>
        <scheme val="minor"/>
      </rPr>
      <t>все</t>
    </r>
    <r>
      <rPr>
        <sz val="8"/>
        <color theme="1"/>
        <rFont val="Calibri"/>
        <family val="2"/>
        <charset val="204"/>
        <scheme val="minor"/>
      </rPr>
      <t>)</t>
    </r>
  </si>
  <si>
    <t>-</t>
  </si>
  <si>
    <t>Физический износ объекта оценки, %</t>
  </si>
  <si>
    <t>Расчет физического износа объекта оценки</t>
  </si>
  <si>
    <t>Расчет функционального устаревания объекта оценки</t>
  </si>
  <si>
    <t>Функциональное устаревание объекта оценки, %</t>
  </si>
  <si>
    <t>РАСЧЕТ БЕЗ НДС</t>
  </si>
  <si>
    <r>
      <t>Определить рыночную стоимость</t>
    </r>
    <r>
      <rPr>
        <b/>
        <sz val="9"/>
        <color theme="6" tint="-0.249977111117893"/>
        <rFont val="Calibri"/>
        <family val="2"/>
        <charset val="204"/>
      </rPr>
      <t xml:space="preserve"> специализированной линии по производству чугунных заготовок</t>
    </r>
    <r>
      <rPr>
        <sz val="9"/>
        <color theme="1"/>
        <rFont val="Calibri"/>
        <family val="2"/>
        <charset val="204"/>
      </rPr>
      <t xml:space="preserve"> на 01.01.2018 для залога без учета НДС; НДС 18%.</t>
    </r>
  </si>
  <si>
    <t>Линия по подготовке заготовок для производства чугунных изделий</t>
  </si>
  <si>
    <t>Прочие специализированные активы</t>
  </si>
  <si>
    <t>Неспециализированные</t>
  </si>
  <si>
    <t>Название</t>
  </si>
  <si>
    <t>Производственное здание</t>
  </si>
  <si>
    <t>Автотранспорт</t>
  </si>
  <si>
    <t>пансионат на Черном море</t>
  </si>
  <si>
    <t>Прочие активы</t>
  </si>
  <si>
    <t>Линия по производству чугунных заготовок</t>
  </si>
  <si>
    <t>Объект оценки</t>
  </si>
  <si>
    <t>Специализированные</t>
  </si>
  <si>
    <t>Стоимость нового на дату оценки</t>
  </si>
  <si>
    <t>расчет - индексы</t>
  </si>
  <si>
    <t>дано</t>
  </si>
  <si>
    <t>примечание</t>
  </si>
  <si>
    <t>Физический Износ</t>
  </si>
  <si>
    <t>ЭВ / Срок службы</t>
  </si>
  <si>
    <t>(Срок службы - Остаточный срок службы) / Срок службы</t>
  </si>
  <si>
    <t>расчет с учетом вклада</t>
  </si>
  <si>
    <t>Прочие активы, доля</t>
  </si>
  <si>
    <t>износ для сегмента</t>
  </si>
  <si>
    <r>
      <t xml:space="preserve">Рыночная стоимость </t>
    </r>
    <r>
      <rPr>
        <b/>
        <sz val="9"/>
        <color theme="1"/>
        <rFont val="Calibri"/>
        <family val="2"/>
        <charset val="204"/>
      </rPr>
      <t>неспециализированных</t>
    </r>
    <r>
      <rPr>
        <sz val="9"/>
        <color theme="1"/>
        <rFont val="Calibri"/>
        <family val="2"/>
        <charset val="204"/>
      </rPr>
      <t xml:space="preserve"> операционных активов, млн. руб.</t>
    </r>
  </si>
  <si>
    <r>
      <t xml:space="preserve">Рыночная стоимость </t>
    </r>
    <r>
      <rPr>
        <b/>
        <sz val="9"/>
        <color theme="1"/>
        <rFont val="Calibri"/>
        <family val="2"/>
        <charset val="204"/>
      </rPr>
      <t>специализированных</t>
    </r>
    <r>
      <rPr>
        <sz val="9"/>
        <color theme="1"/>
        <rFont val="Calibri"/>
        <family val="2"/>
        <charset val="204"/>
      </rPr>
      <t xml:space="preserve"> операционных активов по затратному подходу (</t>
    </r>
    <r>
      <rPr>
        <b/>
        <sz val="9"/>
        <color theme="1"/>
        <rFont val="Calibri"/>
        <family val="2"/>
        <charset val="204"/>
      </rPr>
      <t>без учета внешнего устаревания</t>
    </r>
    <r>
      <rPr>
        <sz val="9"/>
        <color theme="1"/>
        <rFont val="Calibri"/>
        <family val="2"/>
        <charset val="204"/>
      </rPr>
      <t>), млн. руб.</t>
    </r>
  </si>
  <si>
    <t>Расчет накопленного износа линии по производству чугунных заготовок</t>
  </si>
  <si>
    <t>Стоимость специализированных операционных активов (из доходного подхода)</t>
  </si>
  <si>
    <t>Расчет рыночной стоимости линии по производству чугунных заготовок</t>
  </si>
  <si>
    <t>5.2.1.78</t>
  </si>
  <si>
    <r>
      <t>2. Рыночная стоимость производственного здания площадью 20000 кв.м, расположенного на обособленном участке земли площадью 12 га,</t>
    </r>
    <r>
      <rPr>
        <sz val="9"/>
        <color rgb="FFFF0000"/>
        <rFont val="Calibri"/>
        <family val="2"/>
        <charset val="204"/>
      </rPr>
      <t xml:space="preserve"> - 180 млн руб.</t>
    </r>
    <r>
      <rPr>
        <sz val="9"/>
        <color theme="1"/>
        <rFont val="Calibri"/>
        <family val="2"/>
        <charset val="204"/>
      </rPr>
      <t xml:space="preserve"> </t>
    </r>
    <r>
      <rPr>
        <sz val="9"/>
        <color rgb="FFFF0000"/>
        <rFont val="Calibri"/>
        <family val="2"/>
        <charset val="204"/>
      </rPr>
      <t xml:space="preserve"> без учета НДС</t>
    </r>
  </si>
  <si>
    <r>
      <t xml:space="preserve">3. Рыночная стоимость автотранспортного парка, обслуживающего завод - </t>
    </r>
    <r>
      <rPr>
        <sz val="9"/>
        <color rgb="FFFF0000"/>
        <rFont val="Calibri"/>
        <family val="2"/>
        <charset val="204"/>
      </rPr>
      <t>35 млн руб.</t>
    </r>
    <r>
      <rPr>
        <sz val="9"/>
        <color rgb="FF222222"/>
        <rFont val="Calibri"/>
        <family val="2"/>
        <charset val="204"/>
      </rPr>
      <t xml:space="preserve"> </t>
    </r>
    <r>
      <rPr>
        <sz val="9"/>
        <color rgb="FFFF0000"/>
        <rFont val="Calibri"/>
        <family val="2"/>
        <charset val="204"/>
      </rPr>
      <t>без учета НДС. </t>
    </r>
  </si>
  <si>
    <r>
      <t xml:space="preserve">4. </t>
    </r>
    <r>
      <rPr>
        <sz val="9"/>
        <rFont val="Calibri"/>
        <family val="2"/>
        <charset val="204"/>
      </rPr>
      <t>Линия по подготовке заготовок</t>
    </r>
    <r>
      <rPr>
        <sz val="9"/>
        <color rgb="FF222222"/>
        <rFont val="Calibri"/>
        <family val="2"/>
        <charset val="204"/>
      </rPr>
      <t xml:space="preserve"> для производства чугунных изделий. Полная восстановительная стоимость</t>
    </r>
    <r>
      <rPr>
        <sz val="9"/>
        <color theme="3" tint="0.39997558519241921"/>
        <rFont val="Calibri"/>
        <family val="2"/>
        <charset val="204"/>
      </rPr>
      <t xml:space="preserve"> 75 млн. руб. без НДС</t>
    </r>
    <r>
      <rPr>
        <sz val="9"/>
        <color rgb="FF222222"/>
        <rFont val="Calibri"/>
        <family val="2"/>
        <charset val="204"/>
      </rPr>
      <t xml:space="preserve">. Срок службы 15 лет. Эффективный возраст 7 лет. </t>
    </r>
  </si>
  <si>
    <r>
      <t xml:space="preserve">5. В составе имущества завода есть пансионат на Черном море стоимостью рыночной стоимостью </t>
    </r>
    <r>
      <rPr>
        <sz val="9"/>
        <color theme="9" tint="-0.249977111117893"/>
        <rFont val="Calibri"/>
        <family val="2"/>
        <charset val="204"/>
      </rPr>
      <t>185 млн. руб. с НДС.</t>
    </r>
  </si>
  <si>
    <r>
      <t xml:space="preserve">6. Прочие активы. </t>
    </r>
    <r>
      <rPr>
        <sz val="9"/>
        <color rgb="FFFF0000"/>
        <rFont val="Calibri"/>
        <family val="2"/>
        <charset val="204"/>
      </rPr>
      <t>Все прочие активы являются специализированными и задействованы в производстве продукции предприятия</t>
    </r>
    <r>
      <rPr>
        <sz val="9"/>
        <color rgb="FF222222"/>
        <rFont val="Calibri"/>
        <family val="2"/>
        <charset val="204"/>
      </rPr>
      <t xml:space="preserve">. Затраты на замещение как новых данных прочих активов по состоянию на дату оценки составляет </t>
    </r>
    <r>
      <rPr>
        <sz val="9"/>
        <color rgb="FFFF0000"/>
        <rFont val="Calibri"/>
        <family val="2"/>
        <charset val="204"/>
      </rPr>
      <t>540 млн. руб. (без НДС</t>
    </r>
    <r>
      <rPr>
        <sz val="9"/>
        <color rgb="FF222222"/>
        <rFont val="Calibri"/>
        <family val="2"/>
        <charset val="204"/>
      </rPr>
      <t>). Физический износ 20% активов (в стоимостном выражении) составляет 20%, 30 % активов – 30%, 50% активов – 50%.</t>
    </r>
  </si>
  <si>
    <r>
      <t xml:space="preserve">Стоимость </t>
    </r>
    <r>
      <rPr>
        <b/>
        <sz val="9"/>
        <color rgb="FF222222"/>
        <rFont val="Calibri"/>
        <family val="2"/>
        <charset val="204"/>
      </rPr>
      <t>операционного имущества</t>
    </r>
    <r>
      <rPr>
        <sz val="9"/>
        <color rgb="FF222222"/>
        <rFont val="Calibri"/>
        <family val="2"/>
        <charset val="204"/>
      </rPr>
      <t xml:space="preserve"> завода в рамках </t>
    </r>
    <r>
      <rPr>
        <sz val="9"/>
        <color rgb="FFFF0000"/>
        <rFont val="Calibri"/>
        <family val="2"/>
        <charset val="204"/>
      </rPr>
      <t>доходного</t>
    </r>
    <r>
      <rPr>
        <sz val="9"/>
        <color rgb="FF222222"/>
        <rFont val="Calibri"/>
        <family val="2"/>
        <charset val="204"/>
      </rPr>
      <t xml:space="preserve"> подхода по состоянию на дату оценки составляет 600 млн. руб.(без НДС).</t>
    </r>
  </si>
  <si>
    <t>лет</t>
  </si>
  <si>
    <t>Безрисковая ставка 8%.</t>
  </si>
  <si>
    <t>Норма доходности инвестиций в аналогичные объекты 13%</t>
  </si>
  <si>
    <t>Рыночная стоимость ЗУ</t>
  </si>
  <si>
    <t>Годовой арендная ставка</t>
  </si>
  <si>
    <t>руб/кв. м. здания</t>
  </si>
  <si>
    <t>Расчет нормы возврата</t>
  </si>
  <si>
    <t>потери от недозагрузки</t>
  </si>
  <si>
    <t>операционные расходы</t>
  </si>
  <si>
    <t>от ДВД</t>
  </si>
  <si>
    <t>ЧОД</t>
  </si>
  <si>
    <t>Рыночная стоимость здания (без ЗУ)</t>
  </si>
  <si>
    <t>Стоимость здания+ЗУ</t>
  </si>
  <si>
    <t>3.2.3.18</t>
  </si>
  <si>
    <t>понимать решение задачи</t>
  </si>
  <si>
    <t>5.2.1.69</t>
  </si>
  <si>
    <t>Стоимость рыночная (расчет)</t>
  </si>
  <si>
    <t>Административное здание на обособленном ЗУ</t>
  </si>
  <si>
    <t>5.2.1.99</t>
  </si>
  <si>
    <t>Расчет стоимости Административного здания и ЗУ</t>
  </si>
  <si>
    <t>кв.м</t>
  </si>
  <si>
    <t>Площадь здания</t>
  </si>
  <si>
    <t>руб.</t>
  </si>
  <si>
    <t xml:space="preserve"> оставшийся срок экономической жизни</t>
  </si>
  <si>
    <t>Хоскольд</t>
  </si>
  <si>
    <t>Расчет фукционального устаревания</t>
  </si>
  <si>
    <t>производительность линии (ОО)</t>
  </si>
  <si>
    <t>производительность линии (современной)</t>
  </si>
  <si>
    <t xml:space="preserve">На дату оценки по цене, равной стоимости воспроизводства, определенной оценщиком методом индексации, можно приобрести линию, у которой производительность выше чем у оцениваемой на 10%. </t>
  </si>
  <si>
    <t>Функциональное устаревание</t>
  </si>
  <si>
    <t>РАСЧЕТ (см. ниже)</t>
  </si>
  <si>
    <t>1.  Административное здание заводоуправления площадью 2000 кв.м, расположено на обособленном участке земли площадью 0,4 га. Данные для расчета стоимости: ставка аренды для аналогичных объектов зданий: 4600 руб. за 1 кв.м здания в год  без учета НДС; рыночные потери от недозагрузки 9%, операционные расходы 15% от действительного валового дохода; безрисковая ставка 6%, рыночная норма доходности инвестиций в аналогичные объекты 11%. Норму возврата определить по методу Хоскольда, при том, что оставшийся срок экономической жизни здания 50 лет. Рыночная стоимость земельного участка 2,3 млн рублей.</t>
  </si>
  <si>
    <r>
      <t xml:space="preserve">1.  Административное здание заводоуправления площадью </t>
    </r>
    <r>
      <rPr>
        <sz val="9"/>
        <color rgb="FFFF0000"/>
        <rFont val="Calibri"/>
        <family val="2"/>
        <charset val="204"/>
      </rPr>
      <t>2000</t>
    </r>
    <r>
      <rPr>
        <sz val="9"/>
        <color theme="1"/>
        <rFont val="Calibri"/>
        <family val="2"/>
        <charset val="204"/>
      </rPr>
      <t xml:space="preserve"> кв.м, расположено на обособленном участке земли площадью </t>
    </r>
    <r>
      <rPr>
        <sz val="9"/>
        <color rgb="FFFF0000"/>
        <rFont val="Calibri"/>
        <family val="2"/>
        <charset val="204"/>
      </rPr>
      <t>0,4 га</t>
    </r>
    <r>
      <rPr>
        <sz val="9"/>
        <color theme="1"/>
        <rFont val="Calibri"/>
        <family val="2"/>
        <charset val="204"/>
      </rPr>
      <t xml:space="preserve">. Данные для расчета стоимости: ставка аренды для аналогичных объектов зданий: </t>
    </r>
    <r>
      <rPr>
        <sz val="9"/>
        <color rgb="FFFF0000"/>
        <rFont val="Calibri"/>
        <family val="2"/>
        <charset val="204"/>
      </rPr>
      <t>4600</t>
    </r>
    <r>
      <rPr>
        <sz val="9"/>
        <color theme="1"/>
        <rFont val="Calibri"/>
        <family val="2"/>
        <charset val="204"/>
      </rPr>
      <t xml:space="preserve"> руб. за 1 кв.м здания в год  без учета НДС; рыночные потери от недозагрузки </t>
    </r>
    <r>
      <rPr>
        <sz val="9"/>
        <color rgb="FFFF0000"/>
        <rFont val="Calibri"/>
        <family val="2"/>
        <charset val="204"/>
      </rPr>
      <t>9%</t>
    </r>
    <r>
      <rPr>
        <sz val="9"/>
        <color theme="1"/>
        <rFont val="Calibri"/>
        <family val="2"/>
        <charset val="204"/>
      </rPr>
      <t xml:space="preserve">, операционные расходы </t>
    </r>
    <r>
      <rPr>
        <sz val="9"/>
        <color rgb="FFFF0000"/>
        <rFont val="Calibri"/>
        <family val="2"/>
        <charset val="204"/>
      </rPr>
      <t>15%</t>
    </r>
    <r>
      <rPr>
        <sz val="9"/>
        <color theme="1"/>
        <rFont val="Calibri"/>
        <family val="2"/>
        <charset val="204"/>
      </rPr>
      <t xml:space="preserve"> от действительного валового дохода; безрисковая ставка </t>
    </r>
    <r>
      <rPr>
        <sz val="9"/>
        <color rgb="FFFF0000"/>
        <rFont val="Calibri"/>
        <family val="2"/>
        <charset val="204"/>
      </rPr>
      <t>6%</t>
    </r>
    <r>
      <rPr>
        <sz val="9"/>
        <color theme="1"/>
        <rFont val="Calibri"/>
        <family val="2"/>
        <charset val="204"/>
      </rPr>
      <t xml:space="preserve">, рыночная норма доходности инвестиций в аналогичные объекты </t>
    </r>
    <r>
      <rPr>
        <sz val="9"/>
        <color rgb="FFFF0000"/>
        <rFont val="Calibri"/>
        <family val="2"/>
        <charset val="204"/>
      </rPr>
      <t>11%</t>
    </r>
    <r>
      <rPr>
        <sz val="9"/>
        <color theme="1"/>
        <rFont val="Calibri"/>
        <family val="2"/>
        <charset val="204"/>
      </rPr>
      <t xml:space="preserve">. Норму возврата определить по методу Хоскольда, при том, что оставшийся срок экономической жизни здания </t>
    </r>
    <r>
      <rPr>
        <sz val="9"/>
        <color rgb="FFFF0000"/>
        <rFont val="Calibri"/>
        <family val="2"/>
        <charset val="204"/>
      </rPr>
      <t>50</t>
    </r>
    <r>
      <rPr>
        <sz val="9"/>
        <color theme="1"/>
        <rFont val="Calibri"/>
        <family val="2"/>
        <charset val="204"/>
      </rPr>
      <t xml:space="preserve"> лет. Рыночная стоимость земельного участка</t>
    </r>
    <r>
      <rPr>
        <sz val="9"/>
        <color rgb="FFFF0000"/>
        <rFont val="Calibri"/>
        <family val="2"/>
        <charset val="204"/>
      </rPr>
      <t xml:space="preserve"> 2,3 млн</t>
    </r>
    <r>
      <rPr>
        <sz val="9"/>
        <color theme="1"/>
        <rFont val="Calibri"/>
        <family val="2"/>
        <charset val="204"/>
      </rPr>
      <t xml:space="preserve"> рублей.</t>
    </r>
  </si>
  <si>
    <r>
      <rPr>
        <b/>
        <sz val="9"/>
        <color theme="6" tint="-0.249977111117893"/>
        <rFont val="Calibri"/>
        <family val="2"/>
        <charset val="204"/>
      </rPr>
      <t>Оцениваемая линия</t>
    </r>
    <r>
      <rPr>
        <sz val="9"/>
        <color rgb="FF222222"/>
        <rFont val="Calibri"/>
        <family val="2"/>
        <charset val="204"/>
      </rPr>
      <t xml:space="preserve"> приобретена и установлена в начале 2013 г. Первоначальная стоимость 110 млн.руб.(без НДС). Нормативный срок службы 15 лет. Износ начисляется линейно. Остаточный срок службы 11 лет. Индекс изменения стоимости аналогичного оборудования с 01.01.2001 по 01.01.2018 равен 12,4, индекс с 01.01.2001 по 01.01.2013 – 15,6.</t>
    </r>
    <r>
      <rPr>
        <sz val="9"/>
        <color rgb="FFFF0000"/>
        <rFont val="Calibri"/>
        <family val="2"/>
        <charset val="204"/>
      </rPr>
      <t xml:space="preserve"> На дату оценки по цене, равной стоимости воспроизводства, определенной оценщиком методом индексации, можно приобрести линию, у которой производительность выше  чем у оцениваемой на 10%.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</si>
</sst>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6" formatCode="#,##0.000"/>
    <numFmt numFmtId="167" formatCode="0.0%"/>
    <numFmt numFmtId="168" formatCode="0.000"/>
    <numFmt numFmtId="177" formatCode="0.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50505"/>
      <name val="Segoe UI Historic"/>
      <family val="2"/>
    </font>
    <font>
      <sz val="8"/>
      <color theme="1"/>
      <name val="Calibri"/>
      <family val="2"/>
      <charset val="204"/>
      <scheme val="minor"/>
    </font>
    <font>
      <b/>
      <sz val="8"/>
      <color theme="4"/>
      <name val="Segoe UI Historic"/>
      <family val="2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6" tint="-0.249977111117893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color rgb="FF222222"/>
      <name val="Calibri"/>
      <family val="2"/>
      <charset val="204"/>
    </font>
    <font>
      <b/>
      <sz val="9"/>
      <color rgb="FF222222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b/>
      <sz val="9"/>
      <color theme="4"/>
      <name val="Calibri"/>
      <family val="2"/>
      <charset val="204"/>
    </font>
    <font>
      <b/>
      <i/>
      <sz val="9"/>
      <color theme="4"/>
      <name val="Calibri"/>
      <family val="2"/>
      <charset val="204"/>
    </font>
    <font>
      <sz val="8"/>
      <name val="Segoe UI Historic"/>
      <family val="2"/>
    </font>
    <font>
      <i/>
      <sz val="8"/>
      <color theme="1"/>
      <name val="Calibri"/>
      <family val="2"/>
      <charset val="204"/>
      <scheme val="minor"/>
    </font>
    <font>
      <sz val="8"/>
      <color rgb="FFFF0000"/>
      <name val="Segoe UI Historic"/>
      <family val="2"/>
    </font>
    <font>
      <sz val="9"/>
      <name val="Calibri"/>
      <family val="2"/>
      <charset val="204"/>
    </font>
    <font>
      <sz val="9"/>
      <color theme="3" tint="0.39997558519241921"/>
      <name val="Calibri"/>
      <family val="2"/>
      <charset val="204"/>
    </font>
    <font>
      <sz val="9"/>
      <color theme="9" tint="-0.249977111117893"/>
      <name val="Calibri"/>
      <family val="2"/>
      <charset val="204"/>
    </font>
    <font>
      <b/>
      <sz val="9"/>
      <color rgb="FFFF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0" fontId="14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/>
    </xf>
    <xf numFmtId="167" fontId="3" fillId="14" borderId="1" xfId="1" applyNumberFormat="1" applyFont="1" applyFill="1" applyBorder="1" applyAlignment="1">
      <alignment horizontal="center"/>
    </xf>
    <xf numFmtId="167" fontId="3" fillId="13" borderId="1" xfId="1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3" fontId="8" fillId="10" borderId="1" xfId="0" applyNumberFormat="1" applyFont="1" applyFill="1" applyBorder="1" applyAlignment="1">
      <alignment horizontal="center" vertical="center"/>
    </xf>
    <xf numFmtId="164" fontId="13" fillId="8" borderId="0" xfId="0" applyNumberFormat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7" fontId="14" fillId="4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167" fontId="13" fillId="0" borderId="1" xfId="1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8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9" fontId="8" fillId="0" borderId="0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77" fontId="8" fillId="0" borderId="0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167" fontId="17" fillId="0" borderId="1" xfId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164" fontId="8" fillId="15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1" fontId="20" fillId="16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168" fontId="13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CC1B-FC92-47DF-AFE7-608907C00EB0}">
  <dimension ref="A1:T61"/>
  <sheetViews>
    <sheetView tabSelected="1" topLeftCell="A34" workbookViewId="0">
      <selection activeCell="F49" sqref="F49"/>
    </sheetView>
  </sheetViews>
  <sheetFormatPr defaultRowHeight="15" x14ac:dyDescent="0.25"/>
  <cols>
    <col min="1" max="1" width="9.85546875" style="15" customWidth="1"/>
    <col min="2" max="2" width="88.140625" style="15" customWidth="1"/>
    <col min="3" max="3" width="15.42578125" style="15" customWidth="1"/>
    <col min="4" max="4" width="22.7109375" style="1" customWidth="1"/>
    <col min="5" max="5" width="23.140625" style="1" customWidth="1"/>
    <col min="6" max="6" width="20.140625" style="1" customWidth="1"/>
    <col min="7" max="7" width="15.140625" style="3" customWidth="1"/>
    <col min="8" max="8" width="10.7109375" style="3" customWidth="1"/>
    <col min="10" max="10" width="15.42578125" customWidth="1"/>
    <col min="11" max="11" width="8" customWidth="1"/>
    <col min="12" max="12" width="15.28515625" customWidth="1"/>
    <col min="18" max="18" width="19.28515625" customWidth="1"/>
  </cols>
  <sheetData>
    <row r="1" spans="1:20" ht="31.5" x14ac:dyDescent="0.25">
      <c r="A1" s="16"/>
      <c r="B1" s="15" t="s">
        <v>55</v>
      </c>
      <c r="C1" s="23" t="s">
        <v>39</v>
      </c>
      <c r="D1" s="34" t="s">
        <v>59</v>
      </c>
      <c r="E1" s="4" t="s">
        <v>30</v>
      </c>
      <c r="F1" s="4" t="s">
        <v>33</v>
      </c>
      <c r="G1" s="11" t="s">
        <v>24</v>
      </c>
      <c r="H1" s="11" t="s">
        <v>105</v>
      </c>
      <c r="I1" s="11" t="s">
        <v>26</v>
      </c>
      <c r="J1" s="11" t="s">
        <v>28</v>
      </c>
      <c r="K1" s="11" t="s">
        <v>27</v>
      </c>
      <c r="L1" s="11" t="s">
        <v>37</v>
      </c>
      <c r="M1" s="11" t="s">
        <v>38</v>
      </c>
      <c r="N1" s="11" t="s">
        <v>36</v>
      </c>
      <c r="O1" s="11" t="s">
        <v>25</v>
      </c>
      <c r="P1" s="11" t="s">
        <v>47</v>
      </c>
      <c r="Q1" s="11" t="s">
        <v>41</v>
      </c>
      <c r="R1" s="4" t="s">
        <v>43</v>
      </c>
    </row>
    <row r="2" spans="1:20" ht="21" x14ac:dyDescent="0.25">
      <c r="A2" s="16"/>
      <c r="C2" s="8" t="s">
        <v>40</v>
      </c>
      <c r="E2" s="5"/>
      <c r="F2" s="5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20" ht="84" x14ac:dyDescent="0.25">
      <c r="A3" s="16"/>
      <c r="B3" s="15" t="s">
        <v>121</v>
      </c>
      <c r="D3" s="6" t="s">
        <v>106</v>
      </c>
      <c r="E3" s="6" t="s">
        <v>32</v>
      </c>
      <c r="F3" s="10" t="s">
        <v>35</v>
      </c>
      <c r="G3" s="76" t="s">
        <v>49</v>
      </c>
      <c r="H3" s="56">
        <f>C50/1000/1000</f>
        <v>65.028588873554213</v>
      </c>
      <c r="I3" s="76" t="s">
        <v>49</v>
      </c>
      <c r="J3" s="11" t="s">
        <v>29</v>
      </c>
      <c r="K3" s="13" t="s">
        <v>49</v>
      </c>
      <c r="L3" s="13" t="s">
        <v>49</v>
      </c>
      <c r="M3" s="13" t="s">
        <v>49</v>
      </c>
      <c r="N3" s="13" t="s">
        <v>49</v>
      </c>
      <c r="O3" s="13" t="s">
        <v>49</v>
      </c>
      <c r="P3" s="93">
        <v>50</v>
      </c>
      <c r="Q3" s="13" t="s">
        <v>49</v>
      </c>
      <c r="R3" s="7"/>
    </row>
    <row r="4" spans="1:20" ht="24" x14ac:dyDescent="0.25">
      <c r="A4" s="16"/>
      <c r="B4" s="15" t="s">
        <v>83</v>
      </c>
      <c r="D4" s="6" t="s">
        <v>60</v>
      </c>
      <c r="E4" s="6" t="s">
        <v>32</v>
      </c>
      <c r="F4" s="10" t="s">
        <v>35</v>
      </c>
      <c r="G4" s="51">
        <v>180</v>
      </c>
      <c r="H4" s="51"/>
      <c r="I4" s="76" t="s">
        <v>49</v>
      </c>
      <c r="J4" s="11" t="s">
        <v>29</v>
      </c>
      <c r="K4" s="13" t="s">
        <v>49</v>
      </c>
      <c r="L4" s="13" t="s">
        <v>49</v>
      </c>
      <c r="M4" s="13" t="s">
        <v>49</v>
      </c>
      <c r="N4" s="13" t="s">
        <v>49</v>
      </c>
      <c r="O4" s="13" t="s">
        <v>49</v>
      </c>
      <c r="P4" s="13" t="s">
        <v>49</v>
      </c>
      <c r="Q4" s="13" t="s">
        <v>49</v>
      </c>
      <c r="R4" s="7"/>
    </row>
    <row r="5" spans="1:20" x14ac:dyDescent="0.25">
      <c r="A5" s="16"/>
      <c r="B5" s="16" t="s">
        <v>84</v>
      </c>
      <c r="D5" s="6" t="s">
        <v>61</v>
      </c>
      <c r="E5" s="6" t="s">
        <v>32</v>
      </c>
      <c r="F5" s="10" t="s">
        <v>35</v>
      </c>
      <c r="G5" s="51">
        <v>35</v>
      </c>
      <c r="H5" s="51"/>
      <c r="I5" s="76" t="s">
        <v>49</v>
      </c>
      <c r="J5" s="11" t="s">
        <v>29</v>
      </c>
      <c r="K5" s="13" t="s">
        <v>49</v>
      </c>
      <c r="L5" s="13" t="s">
        <v>49</v>
      </c>
      <c r="M5" s="13" t="s">
        <v>49</v>
      </c>
      <c r="N5" s="13" t="s">
        <v>49</v>
      </c>
      <c r="O5" s="13" t="s">
        <v>49</v>
      </c>
      <c r="P5" s="13" t="s">
        <v>49</v>
      </c>
      <c r="Q5" s="13" t="s">
        <v>49</v>
      </c>
      <c r="R5" s="7"/>
    </row>
    <row r="6" spans="1:20" ht="33.75" x14ac:dyDescent="0.25">
      <c r="A6" s="16"/>
      <c r="B6" s="16" t="s">
        <v>85</v>
      </c>
      <c r="D6" s="6" t="s">
        <v>56</v>
      </c>
      <c r="E6" s="6" t="s">
        <v>32</v>
      </c>
      <c r="F6" s="9" t="s">
        <v>34</v>
      </c>
      <c r="G6" s="76" t="s">
        <v>49</v>
      </c>
      <c r="H6" s="76"/>
      <c r="I6" s="76" t="s">
        <v>49</v>
      </c>
      <c r="J6" s="11" t="s">
        <v>29</v>
      </c>
      <c r="K6" s="13" t="s">
        <v>49</v>
      </c>
      <c r="L6" s="13" t="s">
        <v>49</v>
      </c>
      <c r="M6" s="13" t="s">
        <v>49</v>
      </c>
      <c r="N6" s="11">
        <v>75</v>
      </c>
      <c r="O6" s="11">
        <v>7</v>
      </c>
      <c r="P6" s="13" t="s">
        <v>49</v>
      </c>
      <c r="Q6" s="11">
        <v>15</v>
      </c>
      <c r="R6" s="7"/>
    </row>
    <row r="7" spans="1:20" ht="24" x14ac:dyDescent="0.25">
      <c r="A7" s="16"/>
      <c r="B7" s="16" t="s">
        <v>86</v>
      </c>
      <c r="D7" s="6" t="s">
        <v>62</v>
      </c>
      <c r="E7" s="91" t="s">
        <v>31</v>
      </c>
      <c r="F7" s="5"/>
      <c r="G7" s="11">
        <v>185</v>
      </c>
      <c r="H7" s="11"/>
      <c r="I7" s="76" t="s">
        <v>49</v>
      </c>
      <c r="J7" s="92" t="s">
        <v>42</v>
      </c>
      <c r="K7" s="13" t="s">
        <v>49</v>
      </c>
      <c r="L7" s="13" t="s">
        <v>49</v>
      </c>
      <c r="M7" s="13" t="s">
        <v>49</v>
      </c>
      <c r="N7" s="13" t="s">
        <v>49</v>
      </c>
      <c r="O7" s="13" t="s">
        <v>49</v>
      </c>
      <c r="P7" s="13" t="s">
        <v>49</v>
      </c>
      <c r="Q7" s="13" t="s">
        <v>49</v>
      </c>
      <c r="R7" s="7"/>
    </row>
    <row r="8" spans="1:20" ht="52.5" x14ac:dyDescent="0.25">
      <c r="A8" s="16"/>
      <c r="B8" s="16" t="s">
        <v>87</v>
      </c>
      <c r="D8" s="6" t="s">
        <v>63</v>
      </c>
      <c r="E8" s="6" t="s">
        <v>32</v>
      </c>
      <c r="F8" s="9" t="s">
        <v>34</v>
      </c>
      <c r="G8" s="76" t="s">
        <v>49</v>
      </c>
      <c r="H8" s="76"/>
      <c r="I8" s="76" t="s">
        <v>49</v>
      </c>
      <c r="J8" s="11" t="s">
        <v>29</v>
      </c>
      <c r="K8" s="13" t="s">
        <v>49</v>
      </c>
      <c r="L8" s="13" t="s">
        <v>49</v>
      </c>
      <c r="M8" s="13" t="s">
        <v>49</v>
      </c>
      <c r="N8" s="11">
        <v>540</v>
      </c>
      <c r="O8" s="13" t="s">
        <v>49</v>
      </c>
      <c r="P8" s="13" t="s">
        <v>49</v>
      </c>
      <c r="Q8" s="13" t="s">
        <v>49</v>
      </c>
      <c r="R8" s="4" t="s">
        <v>44</v>
      </c>
      <c r="T8" s="14"/>
    </row>
    <row r="9" spans="1:20" ht="72" x14ac:dyDescent="0.25">
      <c r="A9" s="16"/>
      <c r="B9" s="16" t="s">
        <v>122</v>
      </c>
      <c r="C9" s="23" t="s">
        <v>65</v>
      </c>
      <c r="D9" s="6" t="s">
        <v>64</v>
      </c>
      <c r="E9" s="6" t="s">
        <v>32</v>
      </c>
      <c r="F9" s="9" t="s">
        <v>34</v>
      </c>
      <c r="G9" s="76" t="s">
        <v>49</v>
      </c>
      <c r="H9" s="76"/>
      <c r="I9" s="11">
        <v>110</v>
      </c>
      <c r="J9" s="11" t="s">
        <v>29</v>
      </c>
      <c r="K9" s="11" t="s">
        <v>45</v>
      </c>
      <c r="L9" s="11">
        <v>12.4</v>
      </c>
      <c r="M9" s="11">
        <v>15.6</v>
      </c>
      <c r="N9" s="13" t="s">
        <v>49</v>
      </c>
      <c r="O9" s="13" t="s">
        <v>49</v>
      </c>
      <c r="P9" s="11">
        <v>11</v>
      </c>
      <c r="Q9" s="11">
        <v>15</v>
      </c>
      <c r="R9" s="7"/>
    </row>
    <row r="10" spans="1:20" ht="24" x14ac:dyDescent="0.25">
      <c r="A10" s="16"/>
      <c r="B10" s="16" t="s">
        <v>88</v>
      </c>
      <c r="E10" s="6" t="s">
        <v>48</v>
      </c>
      <c r="F10" s="5"/>
      <c r="G10" s="11">
        <v>600</v>
      </c>
      <c r="H10" s="11"/>
      <c r="I10" s="76" t="s">
        <v>49</v>
      </c>
      <c r="J10" s="11" t="s">
        <v>29</v>
      </c>
      <c r="K10" s="13" t="s">
        <v>49</v>
      </c>
      <c r="L10" s="13" t="s">
        <v>49</v>
      </c>
      <c r="M10" s="13" t="s">
        <v>49</v>
      </c>
      <c r="N10" s="13" t="s">
        <v>49</v>
      </c>
      <c r="O10" s="13" t="s">
        <v>49</v>
      </c>
      <c r="P10" s="13" t="s">
        <v>49</v>
      </c>
      <c r="Q10" s="13" t="s">
        <v>49</v>
      </c>
      <c r="R10" s="4" t="s">
        <v>46</v>
      </c>
    </row>
    <row r="12" spans="1:20" x14ac:dyDescent="0.25">
      <c r="B12" s="17" t="s">
        <v>54</v>
      </c>
      <c r="G12" s="2"/>
      <c r="H12" s="2"/>
    </row>
    <row r="13" spans="1:20" x14ac:dyDescent="0.25">
      <c r="A13" s="18" t="s">
        <v>0</v>
      </c>
      <c r="B13" s="18" t="s">
        <v>1</v>
      </c>
      <c r="C13" s="18" t="s">
        <v>4</v>
      </c>
      <c r="E13" s="4" t="s">
        <v>58</v>
      </c>
      <c r="F13" s="35" t="s">
        <v>23</v>
      </c>
      <c r="G13" s="4" t="s">
        <v>70</v>
      </c>
      <c r="H13" s="55"/>
    </row>
    <row r="14" spans="1:20" ht="22.5" x14ac:dyDescent="0.25">
      <c r="A14" s="24">
        <v>1</v>
      </c>
      <c r="B14" s="19" t="s">
        <v>51</v>
      </c>
      <c r="C14" s="25"/>
      <c r="E14" s="10" t="str">
        <f>D3</f>
        <v>Административное здание на обособленном ЗУ</v>
      </c>
      <c r="F14" s="57">
        <f>H3</f>
        <v>65.028588873554213</v>
      </c>
      <c r="G14" s="77" t="s">
        <v>119</v>
      </c>
      <c r="H14" s="55"/>
    </row>
    <row r="15" spans="1:20" x14ac:dyDescent="0.25">
      <c r="A15" s="26" t="s">
        <v>5</v>
      </c>
      <c r="B15" s="20" t="s">
        <v>8</v>
      </c>
      <c r="C15" s="27">
        <f>Q9</f>
        <v>15</v>
      </c>
      <c r="E15" s="10" t="str">
        <f t="shared" ref="E15:E16" si="0">D4</f>
        <v>Производственное здание</v>
      </c>
      <c r="F15" s="37">
        <f t="shared" ref="F15:F16" si="1">G4</f>
        <v>180</v>
      </c>
      <c r="G15" s="4" t="s">
        <v>69</v>
      </c>
      <c r="H15" s="55"/>
    </row>
    <row r="16" spans="1:20" x14ac:dyDescent="0.25">
      <c r="A16" s="26" t="s">
        <v>7</v>
      </c>
      <c r="B16" s="20" t="s">
        <v>15</v>
      </c>
      <c r="C16" s="27">
        <f>P9</f>
        <v>11</v>
      </c>
      <c r="E16" s="10" t="str">
        <f t="shared" si="0"/>
        <v>Автотранспорт</v>
      </c>
      <c r="F16" s="37">
        <f t="shared" si="1"/>
        <v>35</v>
      </c>
      <c r="G16" s="4" t="s">
        <v>69</v>
      </c>
      <c r="H16" s="55"/>
    </row>
    <row r="17" spans="1:14" x14ac:dyDescent="0.25">
      <c r="A17" s="26" t="s">
        <v>9</v>
      </c>
      <c r="B17" s="20" t="s">
        <v>6</v>
      </c>
      <c r="C17" s="28">
        <f>C15-C16</f>
        <v>4</v>
      </c>
    </row>
    <row r="18" spans="1:14" ht="42" x14ac:dyDescent="0.25">
      <c r="A18" s="29" t="s">
        <v>9</v>
      </c>
      <c r="B18" s="21" t="s">
        <v>50</v>
      </c>
      <c r="C18" s="30">
        <f>C17/C15</f>
        <v>0.26666666666666666</v>
      </c>
      <c r="E18" s="11" t="s">
        <v>66</v>
      </c>
      <c r="F18" s="11" t="s">
        <v>67</v>
      </c>
      <c r="G18" s="11" t="s">
        <v>70</v>
      </c>
      <c r="H18" s="11"/>
      <c r="I18" s="79" t="s">
        <v>71</v>
      </c>
      <c r="J18" s="11" t="s">
        <v>70</v>
      </c>
      <c r="K18" s="89" t="s">
        <v>118</v>
      </c>
      <c r="L18" s="11" t="s">
        <v>70</v>
      </c>
      <c r="M18" s="80" t="s">
        <v>75</v>
      </c>
      <c r="N18" s="81" t="s">
        <v>76</v>
      </c>
    </row>
    <row r="19" spans="1:14" ht="33.75" x14ac:dyDescent="0.25">
      <c r="A19" s="24">
        <v>2</v>
      </c>
      <c r="B19" s="22" t="s">
        <v>52</v>
      </c>
      <c r="C19" s="77" t="s">
        <v>119</v>
      </c>
      <c r="E19" s="82" t="str">
        <f>D6</f>
        <v>Линия по подготовке заготовок для производства чугунных изделий</v>
      </c>
      <c r="F19" s="38">
        <f>N6</f>
        <v>75</v>
      </c>
      <c r="G19" s="12" t="s">
        <v>69</v>
      </c>
      <c r="H19" s="12"/>
      <c r="I19" s="41">
        <f>O6/Q6</f>
        <v>0.46666666666666667</v>
      </c>
      <c r="J19" s="11" t="s">
        <v>72</v>
      </c>
      <c r="K19" s="83"/>
      <c r="L19" s="83"/>
      <c r="M19" s="40">
        <v>0.2</v>
      </c>
      <c r="N19" s="40">
        <v>0.2</v>
      </c>
    </row>
    <row r="20" spans="1:14" ht="21" x14ac:dyDescent="0.25">
      <c r="A20" s="29" t="s">
        <v>10</v>
      </c>
      <c r="B20" s="90" t="s">
        <v>53</v>
      </c>
      <c r="C20" s="73">
        <f>C56</f>
        <v>9.0909090909090939E-2</v>
      </c>
      <c r="E20" s="82" t="str">
        <f>D8</f>
        <v>Прочие активы</v>
      </c>
      <c r="F20" s="38">
        <f>N8</f>
        <v>540</v>
      </c>
      <c r="G20" s="12" t="s">
        <v>69</v>
      </c>
      <c r="H20" s="12"/>
      <c r="I20" s="42">
        <f>M19*N19+M20*N20+M21*N21</f>
        <v>0.38</v>
      </c>
      <c r="J20" s="84" t="s">
        <v>74</v>
      </c>
      <c r="K20" s="83"/>
      <c r="L20" s="83"/>
      <c r="M20" s="40">
        <v>0.3</v>
      </c>
      <c r="N20" s="40">
        <v>0.3</v>
      </c>
    </row>
    <row r="21" spans="1:14" ht="42" x14ac:dyDescent="0.25">
      <c r="A21" s="24">
        <v>3</v>
      </c>
      <c r="B21" s="78" t="s">
        <v>11</v>
      </c>
      <c r="C21" s="25"/>
      <c r="E21" s="82" t="str">
        <f>D9</f>
        <v>Линия по производству чугунных заготовок</v>
      </c>
      <c r="F21" s="39">
        <f>I9*L9/M9</f>
        <v>87.435897435897431</v>
      </c>
      <c r="G21" s="85" t="s">
        <v>68</v>
      </c>
      <c r="H21" s="85"/>
      <c r="I21" s="41">
        <f>(Q9-P9)/Q9</f>
        <v>0.26666666666666666</v>
      </c>
      <c r="J21" s="11" t="s">
        <v>73</v>
      </c>
      <c r="K21" s="41">
        <f>C20</f>
        <v>9.0909090909090939E-2</v>
      </c>
      <c r="L21" s="77" t="s">
        <v>119</v>
      </c>
      <c r="M21" s="40">
        <v>0.5</v>
      </c>
      <c r="N21" s="40">
        <v>0.5</v>
      </c>
    </row>
    <row r="22" spans="1:14" x14ac:dyDescent="0.25">
      <c r="A22" s="26" t="s">
        <v>2</v>
      </c>
      <c r="B22" s="44" t="s">
        <v>16</v>
      </c>
      <c r="C22" s="45">
        <f>G10</f>
        <v>600</v>
      </c>
    </row>
    <row r="23" spans="1:14" x14ac:dyDescent="0.25">
      <c r="A23" s="26" t="s">
        <v>3</v>
      </c>
      <c r="B23" s="20" t="s">
        <v>77</v>
      </c>
      <c r="C23" s="32">
        <f>C24+C25+C26</f>
        <v>280.02858887355421</v>
      </c>
    </row>
    <row r="24" spans="1:14" x14ac:dyDescent="0.25">
      <c r="A24" s="31" t="s">
        <v>17</v>
      </c>
      <c r="B24" s="10" t="str">
        <f>E14</f>
        <v>Административное здание на обособленном ЗУ</v>
      </c>
      <c r="C24" s="54">
        <f>F14</f>
        <v>65.028588873554213</v>
      </c>
    </row>
    <row r="25" spans="1:14" x14ac:dyDescent="0.25">
      <c r="A25" s="31" t="s">
        <v>18</v>
      </c>
      <c r="B25" s="10" t="str">
        <f t="shared" ref="B25:C26" si="2">E15</f>
        <v>Производственное здание</v>
      </c>
      <c r="C25" s="33">
        <f t="shared" si="2"/>
        <v>180</v>
      </c>
    </row>
    <row r="26" spans="1:14" x14ac:dyDescent="0.25">
      <c r="A26" s="31" t="s">
        <v>19</v>
      </c>
      <c r="B26" s="10" t="str">
        <f t="shared" si="2"/>
        <v>Автотранспорт</v>
      </c>
      <c r="C26" s="33">
        <f t="shared" si="2"/>
        <v>35</v>
      </c>
    </row>
    <row r="27" spans="1:14" ht="24" x14ac:dyDescent="0.25">
      <c r="A27" s="26" t="s">
        <v>12</v>
      </c>
      <c r="B27" s="20" t="s">
        <v>78</v>
      </c>
      <c r="C27" s="86">
        <f>SUM(C28:C30)</f>
        <v>433.09059829059834</v>
      </c>
    </row>
    <row r="28" spans="1:14" x14ac:dyDescent="0.25">
      <c r="A28" s="31" t="s">
        <v>20</v>
      </c>
      <c r="B28" s="43" t="s">
        <v>56</v>
      </c>
      <c r="C28" s="87">
        <f>F19*(1-I19)</f>
        <v>40</v>
      </c>
    </row>
    <row r="29" spans="1:14" x14ac:dyDescent="0.25">
      <c r="A29" s="31" t="s">
        <v>21</v>
      </c>
      <c r="B29" s="43" t="s">
        <v>57</v>
      </c>
      <c r="C29" s="87">
        <f>F20*(1-I20)</f>
        <v>334.8</v>
      </c>
    </row>
    <row r="30" spans="1:14" x14ac:dyDescent="0.25">
      <c r="A30" s="31"/>
      <c r="B30" s="43" t="str">
        <f>E21</f>
        <v>Линия по производству чугунных заготовок</v>
      </c>
      <c r="C30" s="88">
        <f>F21*(1-I21)*(1-K21)</f>
        <v>58.290598290598297</v>
      </c>
      <c r="E30" s="52"/>
      <c r="G30" s="52"/>
      <c r="H30" s="52"/>
    </row>
    <row r="31" spans="1:14" x14ac:dyDescent="0.25">
      <c r="A31" s="31" t="s">
        <v>22</v>
      </c>
      <c r="B31" s="15" t="s">
        <v>80</v>
      </c>
      <c r="C31" s="46">
        <f>C22-C23</f>
        <v>319.97141112644579</v>
      </c>
      <c r="E31" s="52"/>
    </row>
    <row r="32" spans="1:14" x14ac:dyDescent="0.25">
      <c r="A32" s="29" t="s">
        <v>13</v>
      </c>
      <c r="B32" s="47" t="s">
        <v>14</v>
      </c>
      <c r="C32" s="50">
        <f>1-C31/C27</f>
        <v>0.2611905860127931</v>
      </c>
      <c r="E32" s="52"/>
    </row>
    <row r="33" spans="1:5" x14ac:dyDescent="0.25">
      <c r="A33" s="24">
        <v>4</v>
      </c>
      <c r="B33" s="49" t="s">
        <v>79</v>
      </c>
      <c r="C33" s="53">
        <f>1-(1-C18)*(1-C20)*(1-C32)</f>
        <v>0.50746039067519533</v>
      </c>
      <c r="E33" s="52"/>
    </row>
    <row r="34" spans="1:5" x14ac:dyDescent="0.25">
      <c r="A34" s="24">
        <v>5</v>
      </c>
      <c r="B34" s="47" t="s">
        <v>81</v>
      </c>
      <c r="C34" s="48">
        <f>F21*(1-C33)</f>
        <v>43.065642764040611</v>
      </c>
      <c r="D34" s="1" t="s">
        <v>107</v>
      </c>
      <c r="E34" s="36"/>
    </row>
    <row r="35" spans="1:5" x14ac:dyDescent="0.25">
      <c r="C35" s="36"/>
      <c r="E35" s="36"/>
    </row>
    <row r="36" spans="1:5" ht="15.75" thickBot="1" x14ac:dyDescent="0.3">
      <c r="C36" s="36"/>
      <c r="E36" s="36"/>
    </row>
    <row r="37" spans="1:5" x14ac:dyDescent="0.25">
      <c r="B37" s="58" t="s">
        <v>108</v>
      </c>
      <c r="C37" s="59"/>
      <c r="D37" s="60"/>
      <c r="E37" s="36"/>
    </row>
    <row r="38" spans="1:5" ht="54.75" customHeight="1" x14ac:dyDescent="0.25">
      <c r="B38" s="61" t="s">
        <v>120</v>
      </c>
      <c r="C38" s="62"/>
      <c r="D38" s="63"/>
      <c r="E38" s="36"/>
    </row>
    <row r="39" spans="1:5" ht="12" customHeight="1" x14ac:dyDescent="0.25">
      <c r="B39" s="64" t="s">
        <v>110</v>
      </c>
      <c r="C39" s="65">
        <v>2000</v>
      </c>
      <c r="D39" s="66" t="s">
        <v>109</v>
      </c>
    </row>
    <row r="40" spans="1:5" ht="12" customHeight="1" x14ac:dyDescent="0.25">
      <c r="B40" s="64" t="s">
        <v>93</v>
      </c>
      <c r="C40" s="65">
        <v>4600</v>
      </c>
      <c r="D40" s="66" t="s">
        <v>94</v>
      </c>
    </row>
    <row r="41" spans="1:5" x14ac:dyDescent="0.25">
      <c r="B41" s="64" t="s">
        <v>96</v>
      </c>
      <c r="C41" s="67">
        <v>0.09</v>
      </c>
      <c r="D41" s="68"/>
    </row>
    <row r="42" spans="1:5" x14ac:dyDescent="0.25">
      <c r="B42" s="64" t="s">
        <v>97</v>
      </c>
      <c r="C42" s="67">
        <v>0.15</v>
      </c>
      <c r="D42" s="66" t="s">
        <v>98</v>
      </c>
    </row>
    <row r="43" spans="1:5" x14ac:dyDescent="0.25">
      <c r="B43" s="64" t="s">
        <v>99</v>
      </c>
      <c r="C43" s="69">
        <f>C40*C39*(1-C41)*(1-C42)</f>
        <v>7116200</v>
      </c>
      <c r="D43" s="66" t="s">
        <v>111</v>
      </c>
    </row>
    <row r="44" spans="1:5" x14ac:dyDescent="0.25">
      <c r="B44" s="64" t="s">
        <v>90</v>
      </c>
      <c r="C44" s="67">
        <v>0.06</v>
      </c>
      <c r="D44" s="66"/>
    </row>
    <row r="45" spans="1:5" x14ac:dyDescent="0.25">
      <c r="B45" s="64" t="s">
        <v>91</v>
      </c>
      <c r="C45" s="67">
        <v>0.11</v>
      </c>
      <c r="D45" s="66"/>
    </row>
    <row r="46" spans="1:5" x14ac:dyDescent="0.25">
      <c r="B46" s="64" t="s">
        <v>112</v>
      </c>
      <c r="C46" s="94">
        <f>P3</f>
        <v>50</v>
      </c>
      <c r="D46" s="66" t="s">
        <v>89</v>
      </c>
    </row>
    <row r="47" spans="1:5" x14ac:dyDescent="0.25">
      <c r="B47" s="64" t="s">
        <v>95</v>
      </c>
      <c r="C47" s="70">
        <f>C44/((1+C44)^C46-1)</f>
        <v>3.4442863738661871E-3</v>
      </c>
      <c r="D47" s="66" t="s">
        <v>113</v>
      </c>
    </row>
    <row r="48" spans="1:5" x14ac:dyDescent="0.25">
      <c r="B48" s="64" t="s">
        <v>100</v>
      </c>
      <c r="C48" s="69">
        <f>C43/(C45+C47)</f>
        <v>62728588.873554207</v>
      </c>
      <c r="D48" s="66" t="s">
        <v>111</v>
      </c>
    </row>
    <row r="49" spans="2:4" x14ac:dyDescent="0.25">
      <c r="B49" s="64" t="s">
        <v>92</v>
      </c>
      <c r="C49" s="69">
        <v>2300000</v>
      </c>
      <c r="D49" s="68"/>
    </row>
    <row r="50" spans="2:4" ht="14.25" customHeight="1" thickBot="1" x14ac:dyDescent="0.3">
      <c r="B50" s="71" t="s">
        <v>101</v>
      </c>
      <c r="C50" s="72">
        <f>C48+C49</f>
        <v>65028588.873554207</v>
      </c>
      <c r="D50" s="75" t="s">
        <v>111</v>
      </c>
    </row>
    <row r="51" spans="2:4" ht="14.25" customHeight="1" thickBot="1" x14ac:dyDescent="0.3"/>
    <row r="52" spans="2:4" x14ac:dyDescent="0.25">
      <c r="B52" s="58" t="s">
        <v>114</v>
      </c>
      <c r="C52" s="95"/>
    </row>
    <row r="53" spans="2:4" x14ac:dyDescent="0.25">
      <c r="B53" s="64" t="s">
        <v>115</v>
      </c>
      <c r="C53" s="96">
        <v>1</v>
      </c>
    </row>
    <row r="54" spans="2:4" ht="29.25" customHeight="1" x14ac:dyDescent="0.25">
      <c r="B54" s="74" t="s">
        <v>117</v>
      </c>
      <c r="C54" s="97">
        <v>0.1</v>
      </c>
    </row>
    <row r="55" spans="2:4" x14ac:dyDescent="0.25">
      <c r="B55" s="64" t="s">
        <v>116</v>
      </c>
      <c r="C55" s="96">
        <f>C53*(1+C54)</f>
        <v>1.1000000000000001</v>
      </c>
      <c r="D55" s="15"/>
    </row>
    <row r="56" spans="2:4" ht="15.75" thickBot="1" x14ac:dyDescent="0.3">
      <c r="B56" s="71" t="s">
        <v>118</v>
      </c>
      <c r="C56" s="98">
        <f>1-C53/C55</f>
        <v>9.0909090909090939E-2</v>
      </c>
      <c r="D56" s="15"/>
    </row>
    <row r="57" spans="2:4" x14ac:dyDescent="0.25">
      <c r="D57" s="15"/>
    </row>
    <row r="59" spans="2:4" x14ac:dyDescent="0.25">
      <c r="B59" s="15" t="s">
        <v>103</v>
      </c>
      <c r="C59" s="15" t="s">
        <v>82</v>
      </c>
    </row>
    <row r="60" spans="2:4" x14ac:dyDescent="0.25">
      <c r="B60" s="15" t="s">
        <v>103</v>
      </c>
      <c r="C60" s="15" t="s">
        <v>104</v>
      </c>
    </row>
    <row r="61" spans="2:4" x14ac:dyDescent="0.25">
      <c r="B61" s="15" t="s">
        <v>103</v>
      </c>
      <c r="C61" s="15" t="s">
        <v>102</v>
      </c>
    </row>
  </sheetData>
  <mergeCells count="1">
    <mergeCell ref="B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НОВАЯ_5.2.1.99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Natalia Kirshina</cp:lastModifiedBy>
  <dcterms:created xsi:type="dcterms:W3CDTF">2018-03-28T09:14:27Z</dcterms:created>
  <dcterms:modified xsi:type="dcterms:W3CDTF">2021-08-04T19:40:07Z</dcterms:modified>
</cp:coreProperties>
</file>