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d:\Natalia Kirshina\Documents\NK\Appraise\Квал Экзамен\Движимое\"/>
    </mc:Choice>
  </mc:AlternateContent>
  <xr:revisionPtr revIDLastSave="0" documentId="13_ncr:1_{219A2E4C-2222-4652-80DF-02A244525F35}" xr6:coauthVersionLast="46" xr6:coauthVersionMax="46" xr10:uidLastSave="{00000000-0000-0000-0000-000000000000}"/>
  <bookViews>
    <workbookView xWindow="-120" yWindow="-120" windowWidth="29040" windowHeight="15840" activeTab="1" xr2:uid="{00000000-000D-0000-FFFF-FFFF00000000}"/>
  </bookViews>
  <sheets>
    <sheet name="Задача 5.2.1.78 - старая версия" sheetId="1" r:id="rId1"/>
    <sheet name="НОВАЯ_5.2.1.78 и 5.2.1.94"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2" l="1"/>
  <c r="C31" i="2"/>
  <c r="C75" i="1"/>
  <c r="B25" i="2"/>
  <c r="B26" i="2"/>
  <c r="B24" i="2"/>
  <c r="H20" i="2"/>
  <c r="H21" i="2"/>
  <c r="H19" i="2"/>
  <c r="F21" i="2"/>
  <c r="C30" i="2" s="1"/>
  <c r="F20" i="2"/>
  <c r="C29" i="2" s="1"/>
  <c r="F19" i="2"/>
  <c r="C28" i="2" s="1"/>
  <c r="F15" i="2"/>
  <c r="C25" i="2" s="1"/>
  <c r="F16" i="2"/>
  <c r="C26" i="2" s="1"/>
  <c r="F14" i="2"/>
  <c r="C24" i="2" s="1"/>
  <c r="E21" i="2"/>
  <c r="B30" i="2" s="1"/>
  <c r="E20" i="2"/>
  <c r="E19" i="2"/>
  <c r="E15" i="2"/>
  <c r="E16" i="2"/>
  <c r="E14" i="2"/>
  <c r="C71" i="1"/>
  <c r="C73" i="1"/>
  <c r="C72" i="1"/>
  <c r="C22" i="2"/>
  <c r="C16" i="2"/>
  <c r="C15" i="2"/>
  <c r="C74" i="1"/>
  <c r="C67" i="1"/>
  <c r="C27" i="2" l="1"/>
  <c r="C23" i="2"/>
  <c r="C33" i="2" s="1"/>
  <c r="C34" i="2" s="1"/>
  <c r="C17" i="2"/>
  <c r="C18" i="2" s="1"/>
  <c r="J86" i="1"/>
  <c r="J89" i="1" s="1"/>
  <c r="J90" i="1" s="1"/>
  <c r="N77" i="1"/>
  <c r="N78" i="1" s="1"/>
  <c r="N81" i="1" s="1"/>
  <c r="N73" i="1"/>
  <c r="N74" i="1" s="1"/>
  <c r="J73" i="1"/>
  <c r="J76" i="1" s="1"/>
  <c r="J77" i="1" s="1"/>
  <c r="J65" i="1"/>
  <c r="N63" i="1"/>
  <c r="C61" i="1"/>
  <c r="C62" i="1" s="1"/>
  <c r="N60" i="1"/>
  <c r="J60" i="1"/>
  <c r="J62" i="1" s="1"/>
  <c r="J66" i="1" s="1"/>
  <c r="C68" i="1" s="1"/>
  <c r="N64" i="1" l="1"/>
  <c r="C69" i="1" s="1"/>
  <c r="N82" i="1"/>
  <c r="C76" i="1" l="1"/>
  <c r="C77" i="1" s="1"/>
  <c r="C79" i="1" s="1"/>
</calcChain>
</file>

<file path=xl/sharedStrings.xml><?xml version="1.0" encoding="utf-8"?>
<sst xmlns="http://schemas.openxmlformats.org/spreadsheetml/2006/main" count="297" uniqueCount="149">
  <si>
    <t>Условие</t>
  </si>
  <si>
    <t>Решение</t>
  </si>
  <si>
    <t>№ п/п</t>
  </si>
  <si>
    <t>Наименование</t>
  </si>
  <si>
    <t>3.1.</t>
  </si>
  <si>
    <t>3.2.</t>
  </si>
  <si>
    <t>ОТВЕТ</t>
  </si>
  <si>
    <t>Значение</t>
  </si>
  <si>
    <t>Расчет физического износа</t>
  </si>
  <si>
    <t>1.1.</t>
  </si>
  <si>
    <t>Эффективный возраст, лет</t>
  </si>
  <si>
    <t>1.2.</t>
  </si>
  <si>
    <t>Нормативный срок службы, лет</t>
  </si>
  <si>
    <t>1.3.</t>
  </si>
  <si>
    <t>Физический износ, %</t>
  </si>
  <si>
    <t>Расчет функционального устаревания</t>
  </si>
  <si>
    <t>2.6.</t>
  </si>
  <si>
    <t>Функциональное устаревание, %</t>
  </si>
  <si>
    <t>Расчет экономического устаревания</t>
  </si>
  <si>
    <t>=по доходному подходу</t>
  </si>
  <si>
    <t>3.3.</t>
  </si>
  <si>
    <t>Рыночная стоимость специализированных операционных активов по затратному подходу, млрд. млрд. руб.</t>
  </si>
  <si>
    <t>3.4.</t>
  </si>
  <si>
    <t>Экономическое устаревание, %</t>
  </si>
  <si>
    <t>Расчет накопленного износа</t>
  </si>
  <si>
    <t>Расчет рыночной стоимости линии, руб.</t>
  </si>
  <si>
    <t>Определить рыночную стоимость специализированной линии по производству чугунных заготовок на 01.01.2018 для залога без учета НДС.
Данные по имуществу завода чугунных активов:
1. Чистый операционный доход от адм. здания 3 000 руб./кв.м в год без НДС. Площадь адм. здания 5000 кв.м. Ставка капитализации для ЕОН 12%. Под адм. зданием обособленный участок земли площадью 2 га. Рыночная стоимость данного участка  100 000 руб./сотка.
2. Рыночная стоимость производственного здания площадью 30 000 кв.м без земли  5 000 руб./кв.м без НДС. Под данным зданием участок земли 10 га рыночной стоимостью 1 000 000 руб./га. 
3. Рыночная стоимость автотранспортного парка, обслуживающего завод, 80 млн.руб. без НДС. 
4. Линия по подготовке заготовок для производства чугунных изделий. Полная восстановительная стоимость 120 млн. руб. без НДС. Срок службы 15 лет. Эффективный возраст 7 лет. 
5. В составе имущества завода есть пансионат на Черном море стоимостью рыночной стоимостью 250 млн. руб. с НДС.
6. Прочие активы. Все прочие активы являются специализированными и задействованы в производстве продукции предприятия. Затраты на замещение как новых данных прочих активов по состоянию на дату оценки составляет 800 млн. руб. (без НДС). Физический износ 20% активов (в стоимостном выражении) составляет 20%, 30 % активов – 30%, 50% активов – 50%.
Оцениваемая линия приобретена и установлена в начале 2013 г. Первоначальная стоимость 90 млн.руб.(без НДС). Нормативный срок службы 15 лет. Износ начисляется линейно. Остаточный срок службы 11 лет. Индекс изменения стоимости аналогичного оборудования с 01.01.2001 по 01.01.2018 равен 12,4, индекс с 01.01.2001 по 01.01.2013 – 15,6.
Стоимость операционного имущества завода в рамках доходного подхода по состоянию на дату оценки составляет 700 млн. руб. (без НДС).</t>
  </si>
  <si>
    <r>
      <t xml:space="preserve">Расчет стоимости </t>
    </r>
    <r>
      <rPr>
        <b/>
        <sz val="11"/>
        <color rgb="FFFF0000"/>
        <rFont val="Calibri"/>
        <family val="2"/>
        <charset val="204"/>
        <scheme val="minor"/>
      </rPr>
      <t>АДМИНИСТРАТИВНОГО ЗДАНИЯ</t>
    </r>
  </si>
  <si>
    <r>
      <t xml:space="preserve">Расчет стоимости </t>
    </r>
    <r>
      <rPr>
        <b/>
        <sz val="11"/>
        <color rgb="FFFF0000"/>
        <rFont val="Calibri"/>
        <family val="2"/>
        <charset val="204"/>
        <scheme val="minor"/>
      </rPr>
      <t>ПРОИЗВОДСТВЕННОГО ЗДАНИЯ</t>
    </r>
  </si>
  <si>
    <t>Площадь административного здания, кв.м</t>
  </si>
  <si>
    <t>Площадь производственного здания, кв.м</t>
  </si>
  <si>
    <t>ЧОД, руб./кв.м/год без НДС</t>
  </si>
  <si>
    <t>Рыночная стоимость производственного здания (без ЗУ), руб./кв.м без НДС</t>
  </si>
  <si>
    <t>Остаточный срок службы, лет</t>
  </si>
  <si>
    <t>ЧОД, руб./год без НДС</t>
  </si>
  <si>
    <t>Рыночная стоимость производственного здания (без ЗУ), руб. без НДС</t>
  </si>
  <si>
    <t>СК для ЕОН, %</t>
  </si>
  <si>
    <t>Площадь земельного участка, га</t>
  </si>
  <si>
    <t>Стоимость административного здания, руб. без НДС</t>
  </si>
  <si>
    <t>Рыночная стоимость земельного участка, руб./га</t>
  </si>
  <si>
    <t>Рыночная стоимость земельного участка, руб.</t>
  </si>
  <si>
    <t>нет данных для расчета функц.устаревания</t>
  </si>
  <si>
    <t>Рыночная стоимость земельного участка, руб./сотка</t>
  </si>
  <si>
    <t>Рыночная стоимость производственного здания (с ЗУ), млн. руб.</t>
  </si>
  <si>
    <t>Рыночная стоимость всех операционных активов по доходному подходу, млн. руб.</t>
  </si>
  <si>
    <t>Рыночная стоимость административного здания (с ЗУ) по доходному подходу, млн. руб.</t>
  </si>
  <si>
    <t>Рыночная стоимость неспециализированных операционных активов, млн. руб.</t>
  </si>
  <si>
    <t>3.2.1.</t>
  </si>
  <si>
    <t>Расчет см. в табл. сбоку</t>
  </si>
  <si>
    <r>
      <t>Расчет стоимости</t>
    </r>
    <r>
      <rPr>
        <b/>
        <sz val="11"/>
        <color rgb="FFFF0000"/>
        <rFont val="Calibri"/>
        <family val="2"/>
        <charset val="204"/>
        <scheme val="minor"/>
      </rPr>
      <t xml:space="preserve"> ЛИНИИ ПО ПОДГОТОВКЕ ЗАГОТОВОК</t>
    </r>
  </si>
  <si>
    <r>
      <t>Расчет стоимости</t>
    </r>
    <r>
      <rPr>
        <b/>
        <sz val="11"/>
        <color rgb="FFFF0000"/>
        <rFont val="Calibri"/>
        <family val="2"/>
        <charset val="204"/>
        <scheme val="minor"/>
      </rPr>
      <t xml:space="preserve"> ЛИНИИ ПО ПРОИЗВОДСТВУ ЗАГОТОВОК (БЕЗ УЧЕТА ЭК.УСТАР)</t>
    </r>
  </si>
  <si>
    <t>3.2.2.</t>
  </si>
  <si>
    <t>3.2.3.</t>
  </si>
  <si>
    <t>Рыночная стоимость автотранспортного парка, млн. руб.</t>
  </si>
  <si>
    <t>Полная восстановительная стоимость, млн. руб. без НДС</t>
  </si>
  <si>
    <t>Первоначальная стоимость по состоянию на 2013 г., млн. руб. без НДС</t>
  </si>
  <si>
    <t>на данном этапе без учета экон.устар.</t>
  </si>
  <si>
    <t>Индекс изменения стоимости с 01.01.2001 по 01.01.2018</t>
  </si>
  <si>
    <t>3.3.1.</t>
  </si>
  <si>
    <t>Рыночная стоимость линии по подготовке заготовок по затратному подходу, млн. руб.</t>
  </si>
  <si>
    <t>Индекс изменения стоимости с 01.01.2001 по 01.01.2013</t>
  </si>
  <si>
    <t>3.3.2.</t>
  </si>
  <si>
    <t>Индекс изменения стоимости с 01.01.2013 по 01.01.2018</t>
  </si>
  <si>
    <t>3.3.3.</t>
  </si>
  <si>
    <t>Рыночная стоимость прочих специализированных активов по затратному подходу, млн. руб.</t>
  </si>
  <si>
    <t>Стоимость затрат на воспроизводство, млн. руб. без НДС по состоянию на 01.01.2018 г.</t>
  </si>
  <si>
    <t>на данном этапе без учета!</t>
  </si>
  <si>
    <t>Накопленный износ, %</t>
  </si>
  <si>
    <r>
      <t>Расчет стоимости</t>
    </r>
    <r>
      <rPr>
        <b/>
        <sz val="11"/>
        <color rgb="FFFF0000"/>
        <rFont val="Calibri"/>
        <family val="2"/>
        <charset val="204"/>
        <scheme val="minor"/>
      </rPr>
      <t xml:space="preserve"> ПРОЧИХ СПЕЦИАЛИЗИРОВАННЫХ АКТИВОВ</t>
    </r>
  </si>
  <si>
    <t>Стоимость затрат на замещение, млн. руб. без НДС по состоянию на 01.01.2018 г.</t>
  </si>
  <si>
    <t>Физический износ 20%, %</t>
  </si>
  <si>
    <t>Физический износ 30%, %</t>
  </si>
  <si>
    <t>Физический износ 50%, %</t>
  </si>
  <si>
    <t>Физический износ всех прочих специализированных активов, %</t>
  </si>
  <si>
    <t>Задача №10</t>
  </si>
  <si>
    <t xml:space="preserve">Определить рыночную стоимость станка в г. Самаре с учетом НДС. Станок был приобретен в Германии за 350 000 евро. 
Индекс цен на аналогичное оборудование в еврозоне за период с 01.01.1999 по 10.02.2004 составил 1,54, а в период с 10.01.1999 по 15.10.2016 – 2,12. 
Поставка произведена на условиях DDP (включает таможенное оформление, доставку и монтаж). 
Дата поставки – 10.02.2004. Дата оценки – 15.10.2016. Таможенная пошлина составляет 10%. Затраты на доставку и монтаж составляют 20%. 
Курс евро на 10.02.2004 составлял 35,10 руб./евро, а на 15.10.2016 – 70,18 руб./евро.
</t>
  </si>
  <si>
    <t xml:space="preserve">Стоимость рыночная </t>
  </si>
  <si>
    <t>Стоимость рыночная (дано)</t>
  </si>
  <si>
    <t>ЭВ</t>
  </si>
  <si>
    <t>Первоначальная стоимость</t>
  </si>
  <si>
    <t>Дата приобретения</t>
  </si>
  <si>
    <t xml:space="preserve">НДС в стоимости </t>
  </si>
  <si>
    <t>нет</t>
  </si>
  <si>
    <t>Операционные / неоперационные</t>
  </si>
  <si>
    <t>неоперационные</t>
  </si>
  <si>
    <t>Операционные</t>
  </si>
  <si>
    <t>Специализированные / неспециализированные</t>
  </si>
  <si>
    <t>специализированные</t>
  </si>
  <si>
    <t>неспециализированные</t>
  </si>
  <si>
    <t>ПВС на дату оценки</t>
  </si>
  <si>
    <t>Индекс 2001-2018</t>
  </si>
  <si>
    <t>Индекс 2001-2013</t>
  </si>
  <si>
    <t>всё в млн рублей</t>
  </si>
  <si>
    <t>Дата оценки 01/01/2018</t>
  </si>
  <si>
    <t>Срок службы</t>
  </si>
  <si>
    <t>есть</t>
  </si>
  <si>
    <t>доп. сведения</t>
  </si>
  <si>
    <t xml:space="preserve"> Физический износ 20% активов (в стоимостном выражении) составляет 20%, 30 % активов – 30%, 50% активов – 50%.</t>
  </si>
  <si>
    <t>начало 2013</t>
  </si>
  <si>
    <t>Стоимость определена доходным подходом</t>
  </si>
  <si>
    <t>Остаточный срок службы</t>
  </si>
  <si>
    <r>
      <t>Операционные (</t>
    </r>
    <r>
      <rPr>
        <b/>
        <sz val="8"/>
        <color theme="1"/>
        <rFont val="Calibri"/>
        <family val="2"/>
        <charset val="204"/>
        <scheme val="minor"/>
      </rPr>
      <t>все</t>
    </r>
    <r>
      <rPr>
        <sz val="8"/>
        <color theme="1"/>
        <rFont val="Calibri"/>
        <family val="2"/>
        <charset val="204"/>
        <scheme val="minor"/>
      </rPr>
      <t>)</t>
    </r>
  </si>
  <si>
    <t>-</t>
  </si>
  <si>
    <t>Физический износ объекта оценки, %</t>
  </si>
  <si>
    <t>Расчет физического износа объекта оценки</t>
  </si>
  <si>
    <t>Расчет функционального устаревания объекта оценки</t>
  </si>
  <si>
    <t>Функциональное устаревание объекта оценки, %</t>
  </si>
  <si>
    <t>нет данных</t>
  </si>
  <si>
    <t>РАСЧЕТ БЕЗ НДС</t>
  </si>
  <si>
    <r>
      <t>Определить рыночную стоимость</t>
    </r>
    <r>
      <rPr>
        <b/>
        <sz val="9"/>
        <color theme="6" tint="-0.249977111117893"/>
        <rFont val="Calibri"/>
        <family val="2"/>
        <charset val="204"/>
      </rPr>
      <t xml:space="preserve"> специализированной линии по производству чугунных заготовок</t>
    </r>
    <r>
      <rPr>
        <sz val="9"/>
        <color theme="1"/>
        <rFont val="Calibri"/>
        <family val="2"/>
        <charset val="204"/>
      </rPr>
      <t xml:space="preserve"> на 01.01.2018 для залога без учета НДС; НДС 18%.</t>
    </r>
  </si>
  <si>
    <t>Линия по подготовке заготовок для производства чугунных изделий</t>
  </si>
  <si>
    <t>Прочие специализированные активы</t>
  </si>
  <si>
    <t>Неспециализированные</t>
  </si>
  <si>
    <t>Название</t>
  </si>
  <si>
    <t>Административное здание</t>
  </si>
  <si>
    <t>Производственное здание</t>
  </si>
  <si>
    <t>Автотранспорт</t>
  </si>
  <si>
    <t>пансионат на Черном море</t>
  </si>
  <si>
    <t>Прочие активы</t>
  </si>
  <si>
    <t>Линия по производству чугунных заготовок</t>
  </si>
  <si>
    <t>Объект оценки</t>
  </si>
  <si>
    <t>Специализированные</t>
  </si>
  <si>
    <t>Стоимость нового на дату оценки</t>
  </si>
  <si>
    <t>расчет - индексы</t>
  </si>
  <si>
    <t>дано</t>
  </si>
  <si>
    <t>примечание</t>
  </si>
  <si>
    <t>Физический Износ</t>
  </si>
  <si>
    <t>ЭВ / Срок службы</t>
  </si>
  <si>
    <t>(Срок службы - Остаточный срок службы) / Срок службы</t>
  </si>
  <si>
    <t>расчет с учетом вклада</t>
  </si>
  <si>
    <t>Прочие активы, доля</t>
  </si>
  <si>
    <t>износ для сегмента</t>
  </si>
  <si>
    <r>
      <t xml:space="preserve">Рыночная стоимость </t>
    </r>
    <r>
      <rPr>
        <b/>
        <sz val="9"/>
        <color theme="1"/>
        <rFont val="Calibri"/>
        <family val="2"/>
        <charset val="204"/>
      </rPr>
      <t>неспециализированных</t>
    </r>
    <r>
      <rPr>
        <sz val="9"/>
        <color theme="1"/>
        <rFont val="Calibri"/>
        <family val="2"/>
        <charset val="204"/>
      </rPr>
      <t xml:space="preserve"> операционных активов, млн. руб.</t>
    </r>
  </si>
  <si>
    <r>
      <t xml:space="preserve">Рыночная стоимость </t>
    </r>
    <r>
      <rPr>
        <b/>
        <sz val="9"/>
        <color theme="1"/>
        <rFont val="Calibri"/>
        <family val="2"/>
        <charset val="204"/>
      </rPr>
      <t>специализированных</t>
    </r>
    <r>
      <rPr>
        <sz val="9"/>
        <color theme="1"/>
        <rFont val="Calibri"/>
        <family val="2"/>
        <charset val="204"/>
      </rPr>
      <t xml:space="preserve"> операционных активов по затратному подходу (</t>
    </r>
    <r>
      <rPr>
        <b/>
        <sz val="9"/>
        <color theme="1"/>
        <rFont val="Calibri"/>
        <family val="2"/>
        <charset val="204"/>
      </rPr>
      <t>без учета внешнего устаревания</t>
    </r>
    <r>
      <rPr>
        <sz val="9"/>
        <color theme="1"/>
        <rFont val="Calibri"/>
        <family val="2"/>
        <charset val="204"/>
      </rPr>
      <t>), млн. руб.</t>
    </r>
  </si>
  <si>
    <t>Расчет накопленного износа линии по производству чугунных заготовок</t>
  </si>
  <si>
    <t>Стоимость специализированных операционных активов (из доходного подхода)</t>
  </si>
  <si>
    <t>Расчет рыночной стоимости линии по производству чугунных заготовок</t>
  </si>
  <si>
    <t>5.2.1.78</t>
  </si>
  <si>
    <t>5.2.1.94</t>
  </si>
  <si>
    <r>
      <t>1. Рыночная стоимость административного здания заводуправления площадью 2000 кв.м, расположенного на обособленном участке земли площадью 0,4 га,</t>
    </r>
    <r>
      <rPr>
        <sz val="9"/>
        <color rgb="FFFF0000"/>
        <rFont val="Calibri"/>
        <family val="2"/>
        <charset val="204"/>
      </rPr>
      <t xml:space="preserve"> - 65 млн руб.  без учета НДС</t>
    </r>
  </si>
  <si>
    <r>
      <t>2. Рыночная стоимость производственного здания площадью 20000 кв.м, расположенного на обособленном участке земли площадью 12 га,</t>
    </r>
    <r>
      <rPr>
        <sz val="9"/>
        <color rgb="FFFF0000"/>
        <rFont val="Calibri"/>
        <family val="2"/>
        <charset val="204"/>
      </rPr>
      <t xml:space="preserve"> - 180 млн руб.</t>
    </r>
    <r>
      <rPr>
        <sz val="9"/>
        <color theme="1"/>
        <rFont val="Calibri"/>
        <family val="2"/>
        <charset val="204"/>
      </rPr>
      <t xml:space="preserve"> </t>
    </r>
    <r>
      <rPr>
        <sz val="9"/>
        <color rgb="FFFF0000"/>
        <rFont val="Calibri"/>
        <family val="2"/>
        <charset val="204"/>
      </rPr>
      <t xml:space="preserve"> без учета НДС</t>
    </r>
  </si>
  <si>
    <r>
      <t xml:space="preserve">3. Рыночная стоимость автотранспортного парка, обслуживающего завод - </t>
    </r>
    <r>
      <rPr>
        <sz val="9"/>
        <color rgb="FFFF0000"/>
        <rFont val="Calibri"/>
        <family val="2"/>
        <charset val="204"/>
      </rPr>
      <t>35 млн руб.</t>
    </r>
    <r>
      <rPr>
        <sz val="9"/>
        <color rgb="FF222222"/>
        <rFont val="Calibri"/>
        <family val="2"/>
        <charset val="204"/>
      </rPr>
      <t xml:space="preserve"> </t>
    </r>
    <r>
      <rPr>
        <sz val="9"/>
        <color rgb="FFFF0000"/>
        <rFont val="Calibri"/>
        <family val="2"/>
        <charset val="204"/>
      </rPr>
      <t>без учета НДС. </t>
    </r>
  </si>
  <si>
    <r>
      <t xml:space="preserve">4. </t>
    </r>
    <r>
      <rPr>
        <sz val="9"/>
        <rFont val="Calibri"/>
        <family val="2"/>
        <charset val="204"/>
      </rPr>
      <t>Линия по подготовке заготовок</t>
    </r>
    <r>
      <rPr>
        <sz val="9"/>
        <color rgb="FF222222"/>
        <rFont val="Calibri"/>
        <family val="2"/>
        <charset val="204"/>
      </rPr>
      <t xml:space="preserve"> для производства чугунных изделий. Полная восстановительная стоимость</t>
    </r>
    <r>
      <rPr>
        <sz val="9"/>
        <color theme="3" tint="0.39997558519241921"/>
        <rFont val="Calibri"/>
        <family val="2"/>
        <charset val="204"/>
      </rPr>
      <t xml:space="preserve"> 75 млн. руб. без НДС</t>
    </r>
    <r>
      <rPr>
        <sz val="9"/>
        <color rgb="FF222222"/>
        <rFont val="Calibri"/>
        <family val="2"/>
        <charset val="204"/>
      </rPr>
      <t xml:space="preserve">. Срок службы 15 лет. Эффективный возраст 7 лет. </t>
    </r>
  </si>
  <si>
    <r>
      <t xml:space="preserve">5. В составе имущества завода есть пансионат на Черном море стоимостью рыночной стоимостью </t>
    </r>
    <r>
      <rPr>
        <sz val="9"/>
        <color theme="9" tint="-0.249977111117893"/>
        <rFont val="Calibri"/>
        <family val="2"/>
        <charset val="204"/>
      </rPr>
      <t>185 млн. руб. с НДС.</t>
    </r>
  </si>
  <si>
    <r>
      <t xml:space="preserve">6. Прочие активы. </t>
    </r>
    <r>
      <rPr>
        <sz val="9"/>
        <color rgb="FFFF0000"/>
        <rFont val="Calibri"/>
        <family val="2"/>
        <charset val="204"/>
      </rPr>
      <t>Все прочие активы являются специализированными и задействованы в производстве продукции предприятия</t>
    </r>
    <r>
      <rPr>
        <sz val="9"/>
        <color rgb="FF222222"/>
        <rFont val="Calibri"/>
        <family val="2"/>
        <charset val="204"/>
      </rPr>
      <t xml:space="preserve">. Затраты на замещение как новых данных прочих активов по состоянию на дату оценки составляет </t>
    </r>
    <r>
      <rPr>
        <sz val="9"/>
        <color rgb="FFFF0000"/>
        <rFont val="Calibri"/>
        <family val="2"/>
        <charset val="204"/>
      </rPr>
      <t>540 млн. руб. (без НДС</t>
    </r>
    <r>
      <rPr>
        <sz val="9"/>
        <color rgb="FF222222"/>
        <rFont val="Calibri"/>
        <family val="2"/>
        <charset val="204"/>
      </rPr>
      <t>). Физический износ 20% активов (в стоимостном выражении) составляет 20%, 30 % активов – 30%, 50% активов – 50%.</t>
    </r>
  </si>
  <si>
    <r>
      <rPr>
        <b/>
        <sz val="9"/>
        <color theme="6" tint="-0.249977111117893"/>
        <rFont val="Calibri"/>
        <family val="2"/>
        <charset val="204"/>
      </rPr>
      <t>Оцениваемая линия</t>
    </r>
    <r>
      <rPr>
        <sz val="9"/>
        <color rgb="FF222222"/>
        <rFont val="Calibri"/>
        <family val="2"/>
        <charset val="204"/>
      </rPr>
      <t xml:space="preserve"> приобретена и установлена в начале 2013 г. Первоначальная стоимость 110 млн.руб.(без НДС). Нормативный срок службы 15 лет. Износ начисляется линейно. Остаточный срок службы 11 лет. Индекс изменения стоимости аналогичного оборудования с 01.01.2001 по 01.01.2018 равен 12,4, индекс с 01.01.2001 по 01.01.2013 – 15,6.</t>
    </r>
  </si>
  <si>
    <r>
      <t xml:space="preserve">Стоимость </t>
    </r>
    <r>
      <rPr>
        <b/>
        <sz val="9"/>
        <color rgb="FF222222"/>
        <rFont val="Calibri"/>
        <family val="2"/>
        <charset val="204"/>
      </rPr>
      <t>операционного имущества</t>
    </r>
    <r>
      <rPr>
        <sz val="9"/>
        <color rgb="FF222222"/>
        <rFont val="Calibri"/>
        <family val="2"/>
        <charset val="204"/>
      </rPr>
      <t xml:space="preserve"> завода в рамках </t>
    </r>
    <r>
      <rPr>
        <sz val="9"/>
        <color rgb="FFFF0000"/>
        <rFont val="Calibri"/>
        <family val="2"/>
        <charset val="204"/>
      </rPr>
      <t>доходного</t>
    </r>
    <r>
      <rPr>
        <sz val="9"/>
        <color rgb="FF222222"/>
        <rFont val="Calibri"/>
        <family val="2"/>
        <charset val="204"/>
      </rPr>
      <t xml:space="preserve"> подхода по состоянию на дату оценки составляет 600 млн. руб.(без НДС).</t>
    </r>
  </si>
  <si>
    <t>Расчет выполнен Ольгой Цхай</t>
  </si>
  <si>
    <t>Условие (старое!)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</si>
</sst>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
    <numFmt numFmtId="167" formatCode="0.0%"/>
    <numFmt numFmtId="176" formatCode="0.000"/>
  </numFmts>
  <fonts count="33" x14ac:knownFonts="1">
    <font>
      <sz val="11"/>
      <color theme="1"/>
      <name val="Calibri"/>
      <family val="2"/>
      <charset val="204"/>
      <scheme val="minor"/>
    </font>
    <font>
      <sz val="11"/>
      <color theme="1"/>
      <name val="Calibri"/>
      <family val="2"/>
      <charset val="204"/>
      <scheme val="minor"/>
    </font>
    <font>
      <b/>
      <sz val="12"/>
      <color rgb="FFFF0000"/>
      <name val="Times New Roman"/>
      <family val="1"/>
      <charset val="204"/>
    </font>
    <font>
      <sz val="12"/>
      <color theme="1"/>
      <name val="Times New Roman"/>
      <family val="1"/>
      <charset val="204"/>
    </font>
    <font>
      <b/>
      <sz val="12"/>
      <color rgb="FF0070C0"/>
      <name val="Times New Roman"/>
      <family val="1"/>
      <charset val="204"/>
    </font>
    <font>
      <sz val="12"/>
      <name val="Times New Roman"/>
      <family val="1"/>
      <charset val="204"/>
    </font>
    <font>
      <b/>
      <sz val="12"/>
      <color theme="1"/>
      <name val="Times New Roman"/>
      <family val="1"/>
      <charset val="204"/>
    </font>
    <font>
      <b/>
      <i/>
      <sz val="12"/>
      <color theme="1"/>
      <name val="Times New Roman"/>
      <family val="1"/>
      <charset val="204"/>
    </font>
    <font>
      <b/>
      <sz val="11"/>
      <color rgb="FF0070C0"/>
      <name val="Calibri"/>
      <family val="2"/>
      <charset val="204"/>
      <scheme val="minor"/>
    </font>
    <font>
      <b/>
      <sz val="11"/>
      <color rgb="FFFF0000"/>
      <name val="Calibri"/>
      <family val="2"/>
      <charset val="204"/>
      <scheme val="minor"/>
    </font>
    <font>
      <i/>
      <sz val="12"/>
      <color theme="1"/>
      <name val="Times New Roman"/>
      <family val="1"/>
      <charset val="204"/>
    </font>
    <font>
      <b/>
      <sz val="11"/>
      <color theme="1"/>
      <name val="Calibri"/>
      <family val="2"/>
      <charset val="204"/>
      <scheme val="minor"/>
    </font>
    <font>
      <sz val="9"/>
      <color theme="1"/>
      <name val="Calibri"/>
      <family val="2"/>
      <charset val="204"/>
      <scheme val="minor"/>
    </font>
    <font>
      <sz val="8"/>
      <color rgb="FF050505"/>
      <name val="Segoe UI Historic"/>
      <family val="2"/>
    </font>
    <font>
      <sz val="8"/>
      <color theme="1"/>
      <name val="Calibri"/>
      <family val="2"/>
      <charset val="204"/>
      <scheme val="minor"/>
    </font>
    <font>
      <b/>
      <sz val="8"/>
      <color theme="4"/>
      <name val="Segoe UI Historic"/>
      <family val="2"/>
    </font>
    <font>
      <b/>
      <sz val="8"/>
      <color theme="1"/>
      <name val="Calibri"/>
      <family val="2"/>
      <charset val="204"/>
      <scheme val="minor"/>
    </font>
    <font>
      <sz val="9"/>
      <color theme="1"/>
      <name val="Calibri"/>
      <family val="2"/>
      <charset val="204"/>
    </font>
    <font>
      <b/>
      <sz val="9"/>
      <color theme="6" tint="-0.249977111117893"/>
      <name val="Calibri"/>
      <family val="2"/>
      <charset val="204"/>
    </font>
    <font>
      <sz val="9"/>
      <color rgb="FFFF0000"/>
      <name val="Calibri"/>
      <family val="2"/>
      <charset val="204"/>
    </font>
    <font>
      <sz val="9"/>
      <color rgb="FF222222"/>
      <name val="Calibri"/>
      <family val="2"/>
      <charset val="204"/>
    </font>
    <font>
      <b/>
      <sz val="9"/>
      <color rgb="FF222222"/>
      <name val="Calibri"/>
      <family val="2"/>
      <charset val="204"/>
    </font>
    <font>
      <b/>
      <sz val="9"/>
      <color theme="1"/>
      <name val="Calibri"/>
      <family val="2"/>
      <charset val="204"/>
    </font>
    <font>
      <b/>
      <i/>
      <sz val="9"/>
      <color theme="1"/>
      <name val="Calibri"/>
      <family val="2"/>
      <charset val="204"/>
    </font>
    <font>
      <i/>
      <sz val="9"/>
      <color theme="1"/>
      <name val="Calibri"/>
      <family val="2"/>
      <charset val="204"/>
    </font>
    <font>
      <b/>
      <sz val="9"/>
      <color theme="4"/>
      <name val="Calibri"/>
      <family val="2"/>
      <charset val="204"/>
    </font>
    <font>
      <b/>
      <i/>
      <sz val="9"/>
      <color theme="4"/>
      <name val="Calibri"/>
      <family val="2"/>
      <charset val="204"/>
    </font>
    <font>
      <sz val="8"/>
      <name val="Segoe UI Historic"/>
      <family val="2"/>
    </font>
    <font>
      <i/>
      <sz val="8"/>
      <color theme="1"/>
      <name val="Calibri"/>
      <family val="2"/>
      <charset val="204"/>
      <scheme val="minor"/>
    </font>
    <font>
      <sz val="8"/>
      <color rgb="FFFF0000"/>
      <name val="Segoe UI Historic"/>
      <family val="2"/>
    </font>
    <font>
      <sz val="9"/>
      <name val="Calibri"/>
      <family val="2"/>
      <charset val="204"/>
    </font>
    <font>
      <sz val="9"/>
      <color theme="3" tint="0.39997558519241921"/>
      <name val="Calibri"/>
      <family val="2"/>
      <charset val="204"/>
    </font>
    <font>
      <sz val="9"/>
      <color theme="9" tint="-0.249977111117893"/>
      <name val="Calibri"/>
      <family val="2"/>
      <charset val="204"/>
    </font>
  </fonts>
  <fills count="1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3"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6" fillId="0" borderId="1" xfId="0" applyFont="1" applyBorder="1" applyAlignment="1">
      <alignment vertical="center" wrapText="1"/>
    </xf>
    <xf numFmtId="3" fontId="3" fillId="0" borderId="1" xfId="0" applyNumberFormat="1" applyFont="1" applyFill="1" applyBorder="1" applyAlignment="1">
      <alignment horizontal="center" vertical="center"/>
    </xf>
    <xf numFmtId="3" fontId="6" fillId="4" borderId="1" xfId="0" applyNumberFormat="1" applyFont="1" applyFill="1" applyBorder="1" applyAlignment="1">
      <alignment horizontal="center" vertical="center"/>
    </xf>
    <xf numFmtId="0" fontId="2" fillId="5" borderId="1" xfId="0" applyFont="1" applyFill="1" applyBorder="1" applyAlignment="1">
      <alignment vertical="center"/>
    </xf>
    <xf numFmtId="3" fontId="2" fillId="5" borderId="1" xfId="0" applyNumberFormat="1" applyFont="1" applyFill="1" applyBorder="1" applyAlignment="1">
      <alignment horizontal="center" vertical="center"/>
    </xf>
    <xf numFmtId="3" fontId="3" fillId="4"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0" fontId="7" fillId="4" borderId="1" xfId="1"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165" fontId="7" fillId="4" borderId="1" xfId="1" applyNumberFormat="1" applyFont="1" applyFill="1" applyBorder="1" applyAlignment="1">
      <alignment horizontal="center" vertical="center"/>
    </xf>
    <xf numFmtId="0" fontId="3" fillId="0" borderId="0" xfId="0" quotePrefix="1" applyFont="1" applyAlignment="1">
      <alignment vertical="center"/>
    </xf>
    <xf numFmtId="165" fontId="6" fillId="4" borderId="1" xfId="1" applyNumberFormat="1" applyFont="1" applyFill="1" applyBorder="1" applyAlignment="1">
      <alignment horizontal="center" vertical="center"/>
    </xf>
    <xf numFmtId="0" fontId="8" fillId="0" borderId="0" xfId="0" applyFont="1"/>
    <xf numFmtId="3"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9" fontId="3" fillId="0" borderId="1" xfId="1" applyFont="1" applyFill="1" applyBorder="1" applyAlignment="1">
      <alignment horizontal="center" vertical="center"/>
    </xf>
    <xf numFmtId="165" fontId="7" fillId="0" borderId="1" xfId="1" applyNumberFormat="1" applyFont="1" applyFill="1" applyBorder="1" applyAlignment="1">
      <alignment horizontal="center" vertical="center"/>
    </xf>
    <xf numFmtId="4" fontId="6" fillId="4"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4" fontId="10" fillId="4"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167" fontId="3" fillId="4" borderId="1" xfId="1" applyNumberFormat="1" applyFont="1" applyFill="1" applyBorder="1" applyAlignment="1">
      <alignment horizontal="center" vertical="center"/>
    </xf>
    <xf numFmtId="166" fontId="3" fillId="4" borderId="1" xfId="0" applyNumberFormat="1" applyFont="1" applyFill="1" applyBorder="1" applyAlignment="1">
      <alignment horizontal="center" vertical="center"/>
    </xf>
    <xf numFmtId="167" fontId="7" fillId="4" borderId="1" xfId="1" applyNumberFormat="1" applyFont="1" applyFill="1" applyBorder="1" applyAlignment="1">
      <alignment horizontal="center" vertical="center"/>
    </xf>
    <xf numFmtId="164" fontId="6" fillId="4"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0" fillId="0" borderId="0" xfId="0"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13" fillId="0" borderId="1" xfId="0" applyFont="1" applyBorder="1" applyAlignment="1">
      <alignment vertical="center" wrapText="1"/>
    </xf>
    <xf numFmtId="0" fontId="0" fillId="0" borderId="1" xfId="0" applyBorder="1" applyAlignment="1">
      <alignment vertical="center" wrapText="1"/>
    </xf>
    <xf numFmtId="0" fontId="14" fillId="0" borderId="1" xfId="0" applyFont="1" applyBorder="1" applyAlignment="1">
      <alignment vertical="center" wrapText="1"/>
    </xf>
    <xf numFmtId="0" fontId="0" fillId="0" borderId="1" xfId="0" applyBorder="1"/>
    <xf numFmtId="0" fontId="14" fillId="5" borderId="1" xfId="0" applyFont="1" applyFill="1" applyBorder="1" applyAlignment="1">
      <alignment vertical="center" wrapText="1"/>
    </xf>
    <xf numFmtId="0" fontId="15" fillId="0" borderId="0" xfId="0" applyFont="1" applyAlignment="1">
      <alignment vertical="center" wrapText="1"/>
    </xf>
    <xf numFmtId="0" fontId="14" fillId="6" borderId="1" xfId="0" applyFont="1" applyFill="1" applyBorder="1" applyAlignment="1">
      <alignment vertical="center" wrapText="1"/>
    </xf>
    <xf numFmtId="0" fontId="14" fillId="7" borderId="1" xfId="0" applyFont="1" applyFill="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applyAlignment="1">
      <alignment horizontal="center"/>
    </xf>
    <xf numFmtId="0" fontId="14" fillId="5" borderId="1" xfId="0" applyFont="1" applyFill="1" applyBorder="1" applyAlignment="1">
      <alignment horizontal="center" vertical="center" wrapText="1"/>
    </xf>
    <xf numFmtId="9" fontId="0" fillId="0" borderId="0" xfId="0" applyNumberFormat="1"/>
    <xf numFmtId="0" fontId="17" fillId="0" borderId="0" xfId="0" applyFont="1" applyAlignment="1">
      <alignment vertical="center" wrapText="1"/>
    </xf>
    <xf numFmtId="0" fontId="20" fillId="0" borderId="0" xfId="0" applyFont="1" applyAlignment="1">
      <alignment vertical="center" wrapText="1"/>
    </xf>
    <xf numFmtId="0" fontId="17" fillId="5" borderId="0" xfId="0" applyFont="1" applyFill="1" applyAlignment="1">
      <alignment vertical="center" wrapText="1"/>
    </xf>
    <xf numFmtId="0" fontId="17" fillId="3" borderId="1" xfId="0" applyFont="1" applyFill="1" applyBorder="1" applyAlignment="1">
      <alignment horizontal="center" vertical="center"/>
    </xf>
    <xf numFmtId="0" fontId="22" fillId="7" borderId="1" xfId="0" applyFont="1" applyFill="1" applyBorder="1" applyAlignment="1">
      <alignment vertical="center"/>
    </xf>
    <xf numFmtId="0" fontId="17" fillId="0" borderId="1" xfId="0" applyFont="1" applyBorder="1" applyAlignment="1">
      <alignment vertical="center" wrapText="1"/>
    </xf>
    <xf numFmtId="0" fontId="23" fillId="7" borderId="1" xfId="0" applyFont="1" applyFill="1" applyBorder="1" applyAlignment="1">
      <alignment vertical="center" wrapText="1"/>
    </xf>
    <xf numFmtId="0" fontId="22" fillId="0" borderId="1" xfId="0" applyFont="1" applyBorder="1" applyAlignment="1">
      <alignment vertical="center"/>
    </xf>
    <xf numFmtId="0" fontId="23" fillId="0" borderId="1" xfId="0" applyFont="1" applyBorder="1" applyAlignment="1">
      <alignment vertical="center" wrapText="1"/>
    </xf>
    <xf numFmtId="0" fontId="25" fillId="0" borderId="0" xfId="0" applyFont="1" applyAlignment="1">
      <alignment vertical="center" wrapText="1"/>
    </xf>
    <xf numFmtId="0" fontId="22" fillId="0" borderId="1" xfId="0" applyFont="1" applyBorder="1" applyAlignment="1">
      <alignment horizontal="center" vertical="center"/>
    </xf>
    <xf numFmtId="4" fontId="22" fillId="0" borderId="1" xfId="0" applyNumberFormat="1" applyFont="1" applyFill="1" applyBorder="1" applyAlignment="1">
      <alignment horizontal="center" vertical="center"/>
    </xf>
    <xf numFmtId="0" fontId="17" fillId="0" borderId="1" xfId="0" applyFont="1" applyBorder="1" applyAlignment="1">
      <alignment horizontal="center" vertical="center"/>
    </xf>
    <xf numFmtId="3" fontId="17" fillId="0" borderId="1" xfId="0" applyNumberFormat="1" applyFont="1" applyFill="1" applyBorder="1" applyAlignment="1">
      <alignment horizontal="center" vertical="center"/>
    </xf>
    <xf numFmtId="3" fontId="17" fillId="4" borderId="1" xfId="0" applyNumberFormat="1" applyFont="1" applyFill="1" applyBorder="1" applyAlignment="1">
      <alignment horizontal="center" vertical="center"/>
    </xf>
    <xf numFmtId="0" fontId="23" fillId="0" borderId="1" xfId="0" applyFont="1" applyBorder="1" applyAlignment="1">
      <alignment horizontal="center" vertical="center"/>
    </xf>
    <xf numFmtId="10" fontId="23" fillId="4" borderId="1" xfId="1" applyNumberFormat="1" applyFont="1" applyFill="1" applyBorder="1" applyAlignment="1">
      <alignment horizontal="center" vertical="center"/>
    </xf>
    <xf numFmtId="4" fontId="25" fillId="0" borderId="1" xfId="0" applyNumberFormat="1" applyFont="1" applyFill="1" applyBorder="1" applyAlignment="1">
      <alignment horizontal="center" vertical="center"/>
    </xf>
    <xf numFmtId="9" fontId="26" fillId="0" borderId="1" xfId="1" applyNumberFormat="1" applyFont="1" applyFill="1" applyBorder="1" applyAlignment="1">
      <alignment horizontal="center" vertical="center"/>
    </xf>
    <xf numFmtId="0" fontId="24" fillId="0" borderId="1" xfId="0" applyFont="1" applyBorder="1" applyAlignment="1">
      <alignment horizontal="center" vertical="center"/>
    </xf>
    <xf numFmtId="0" fontId="22" fillId="5" borderId="1" xfId="0" applyFont="1" applyFill="1" applyBorder="1" applyAlignment="1">
      <alignment vertical="center"/>
    </xf>
    <xf numFmtId="3" fontId="17" fillId="8" borderId="1" xfId="0" applyNumberFormat="1" applyFont="1" applyFill="1" applyBorder="1" applyAlignment="1">
      <alignment horizontal="center" vertical="center"/>
    </xf>
    <xf numFmtId="3" fontId="17" fillId="9" borderId="1" xfId="0" applyNumberFormat="1" applyFont="1" applyFill="1" applyBorder="1" applyAlignment="1">
      <alignment horizontal="center" vertical="center"/>
    </xf>
    <xf numFmtId="164" fontId="17" fillId="5" borderId="1" xfId="0" applyNumberFormat="1" applyFont="1" applyFill="1" applyBorder="1" applyAlignment="1">
      <alignment horizontal="center" vertical="center"/>
    </xf>
    <xf numFmtId="0" fontId="11" fillId="0" borderId="0" xfId="0" applyFont="1" applyAlignment="1">
      <alignment vertical="center" wrapText="1"/>
    </xf>
    <xf numFmtId="0" fontId="27" fillId="4" borderId="1" xfId="0" applyFont="1" applyFill="1" applyBorder="1" applyAlignment="1">
      <alignment horizontal="center" vertical="center" wrapText="1"/>
    </xf>
    <xf numFmtId="176" fontId="0" fillId="0" borderId="0" xfId="0" applyNumberFormat="1" applyAlignment="1">
      <alignment vertical="center" wrapText="1"/>
    </xf>
    <xf numFmtId="0" fontId="13" fillId="11"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1" fontId="12" fillId="13" borderId="1" xfId="0" applyNumberFormat="1" applyFont="1" applyFill="1" applyBorder="1" applyAlignment="1">
      <alignment horizontal="center" vertical="center" wrapText="1"/>
    </xf>
    <xf numFmtId="0" fontId="14" fillId="13" borderId="1" xfId="0" applyFont="1" applyFill="1" applyBorder="1" applyAlignment="1">
      <alignment vertical="center" wrapText="1"/>
    </xf>
    <xf numFmtId="0" fontId="13" fillId="12" borderId="2" xfId="0" applyFont="1" applyFill="1" applyBorder="1" applyAlignment="1">
      <alignment vertical="center" wrapText="1"/>
    </xf>
    <xf numFmtId="0" fontId="13" fillId="12" borderId="1" xfId="0" applyFont="1" applyFill="1" applyBorder="1" applyAlignment="1">
      <alignment vertical="center" wrapText="1"/>
    </xf>
    <xf numFmtId="0" fontId="14" fillId="12" borderId="3" xfId="0" applyFont="1" applyFill="1" applyBorder="1" applyAlignment="1">
      <alignment vertical="center" wrapText="1"/>
    </xf>
    <xf numFmtId="9" fontId="12" fillId="12" borderId="1" xfId="0" applyNumberFormat="1" applyFont="1" applyFill="1" applyBorder="1" applyAlignment="1">
      <alignment horizontal="center" vertical="center"/>
    </xf>
    <xf numFmtId="0" fontId="13" fillId="0" borderId="1" xfId="0" applyFont="1" applyFill="1" applyBorder="1" applyAlignment="1">
      <alignment vertical="center" wrapText="1"/>
    </xf>
    <xf numFmtId="167" fontId="12" fillId="14" borderId="1" xfId="1" applyNumberFormat="1" applyFont="1" applyFill="1" applyBorder="1" applyAlignment="1">
      <alignment horizontal="center"/>
    </xf>
    <xf numFmtId="167" fontId="12" fillId="13" borderId="1" xfId="1" applyNumberFormat="1" applyFont="1" applyFill="1" applyBorder="1" applyAlignment="1">
      <alignment horizontal="center"/>
    </xf>
    <xf numFmtId="3" fontId="24" fillId="4" borderId="1" xfId="0" applyNumberFormat="1" applyFont="1" applyFill="1" applyBorder="1" applyAlignment="1">
      <alignment horizontal="center" vertical="center"/>
    </xf>
    <xf numFmtId="0" fontId="28" fillId="6" borderId="1" xfId="0" applyFont="1" applyFill="1" applyBorder="1" applyAlignment="1">
      <alignment vertical="center" wrapText="1"/>
    </xf>
    <xf numFmtId="0" fontId="17" fillId="10" borderId="1" xfId="0" applyFont="1" applyFill="1" applyBorder="1" applyAlignment="1">
      <alignment vertical="center" wrapText="1"/>
    </xf>
    <xf numFmtId="3" fontId="17" fillId="10" borderId="1" xfId="0" applyNumberFormat="1" applyFont="1" applyFill="1" applyBorder="1" applyAlignment="1">
      <alignment horizontal="center" vertical="center"/>
    </xf>
    <xf numFmtId="164" fontId="22" fillId="8" borderId="0" xfId="0" applyNumberFormat="1" applyFont="1" applyFill="1" applyAlignment="1">
      <alignment horizontal="center" vertical="center" wrapText="1"/>
    </xf>
    <xf numFmtId="0" fontId="22" fillId="2" borderId="1" xfId="0" applyFont="1" applyFill="1" applyBorder="1" applyAlignment="1">
      <alignment vertical="center" wrapText="1"/>
    </xf>
    <xf numFmtId="166" fontId="22" fillId="2" borderId="1" xfId="0" applyNumberFormat="1" applyFont="1" applyFill="1" applyBorder="1" applyAlignment="1">
      <alignment horizontal="center" vertical="center"/>
    </xf>
    <xf numFmtId="0" fontId="22" fillId="0" borderId="1" xfId="0" applyFont="1" applyFill="1" applyBorder="1" applyAlignment="1">
      <alignment vertical="center" wrapText="1"/>
    </xf>
    <xf numFmtId="167" fontId="23" fillId="4" borderId="1" xfId="1" applyNumberFormat="1" applyFont="1" applyFill="1" applyBorder="1" applyAlignment="1">
      <alignment horizontal="center" vertical="center"/>
    </xf>
    <xf numFmtId="0" fontId="29" fillId="0" borderId="1" xfId="0" applyFont="1" applyBorder="1" applyAlignment="1">
      <alignment horizontal="center" vertical="center" wrapText="1"/>
    </xf>
    <xf numFmtId="0" fontId="0" fillId="6" borderId="0" xfId="0" applyFill="1"/>
    <xf numFmtId="167" fontId="0" fillId="0" borderId="0" xfId="0" applyNumberFormat="1" applyAlignment="1">
      <alignment vertical="center" wrapText="1"/>
    </xf>
    <xf numFmtId="167" fontId="22" fillId="0" borderId="1" xfId="1" applyNumberFormat="1" applyFont="1" applyFill="1" applyBorder="1" applyAlignment="1">
      <alignment horizontal="center" vertical="center"/>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2</xdr:row>
      <xdr:rowOff>133350</xdr:rowOff>
    </xdr:from>
    <xdr:to>
      <xdr:col>5</xdr:col>
      <xdr:colOff>216466</xdr:colOff>
      <xdr:row>27</xdr:row>
      <xdr:rowOff>49596</xdr:rowOff>
    </xdr:to>
    <xdr:pic>
      <xdr:nvPicPr>
        <xdr:cNvPr id="9" name="Picture 3">
          <a:extLst>
            <a:ext uri="{FF2B5EF4-FFF2-40B4-BE49-F238E27FC236}">
              <a16:creationId xmlns:a16="http://schemas.microsoft.com/office/drawing/2014/main" id="{00000000-0008-0000-0000-0000090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514350"/>
          <a:ext cx="6645841" cy="467874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7</xdr:col>
      <xdr:colOff>28575</xdr:colOff>
      <xdr:row>1</xdr:row>
      <xdr:rowOff>133350</xdr:rowOff>
    </xdr:from>
    <xdr:to>
      <xdr:col>12</xdr:col>
      <xdr:colOff>286791</xdr:colOff>
      <xdr:row>27</xdr:row>
      <xdr:rowOff>89060</xdr:rowOff>
    </xdr:to>
    <xdr:pic>
      <xdr:nvPicPr>
        <xdr:cNvPr id="10" name="Picture 5">
          <a:extLst>
            <a:ext uri="{FF2B5EF4-FFF2-40B4-BE49-F238E27FC236}">
              <a16:creationId xmlns:a16="http://schemas.microsoft.com/office/drawing/2014/main" id="{00000000-0008-0000-0000-00000A000000}"/>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53375" y="323850"/>
          <a:ext cx="7344816" cy="490871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O111"/>
  <sheetViews>
    <sheetView topLeftCell="A43" workbookViewId="0">
      <selection activeCell="E66" sqref="E66"/>
    </sheetView>
  </sheetViews>
  <sheetFormatPr defaultRowHeight="15" x14ac:dyDescent="0.25"/>
  <cols>
    <col min="2" max="2" width="46.85546875" customWidth="1"/>
    <col min="3" max="5" width="14.85546875" customWidth="1"/>
    <col min="9" max="9" width="47.140625" bestFit="1" customWidth="1"/>
    <col min="10" max="10" width="13.28515625" bestFit="1" customWidth="1"/>
    <col min="11" max="11" width="27.5703125" bestFit="1" customWidth="1"/>
    <col min="13" max="13" width="50.5703125" customWidth="1"/>
    <col min="14" max="14" width="13.28515625" bestFit="1" customWidth="1"/>
  </cols>
  <sheetData>
    <row r="1" spans="2:2" x14ac:dyDescent="0.25">
      <c r="B1" s="103" t="s">
        <v>147</v>
      </c>
    </row>
    <row r="32" spans="1:1" s="2" customFormat="1" ht="15.75" x14ac:dyDescent="0.25">
      <c r="A32" s="3" t="s">
        <v>148</v>
      </c>
    </row>
    <row r="33" spans="1:7" s="2" customFormat="1" ht="15.75" x14ac:dyDescent="0.25">
      <c r="A33" s="38" t="s">
        <v>26</v>
      </c>
      <c r="B33" s="38"/>
      <c r="C33" s="38"/>
      <c r="D33" s="38"/>
      <c r="E33" s="38"/>
      <c r="F33" s="38"/>
      <c r="G33" s="38"/>
    </row>
    <row r="34" spans="1:7" s="2" customFormat="1" ht="15.75" x14ac:dyDescent="0.25">
      <c r="A34" s="38"/>
      <c r="B34" s="38"/>
      <c r="C34" s="38"/>
      <c r="D34" s="38"/>
      <c r="E34" s="38"/>
      <c r="F34" s="38"/>
      <c r="G34" s="38"/>
    </row>
    <row r="35" spans="1:7" s="2" customFormat="1" ht="15.75" x14ac:dyDescent="0.25">
      <c r="A35" s="38"/>
      <c r="B35" s="38"/>
      <c r="C35" s="38"/>
      <c r="D35" s="38"/>
      <c r="E35" s="38"/>
      <c r="F35" s="38"/>
      <c r="G35" s="38"/>
    </row>
    <row r="36" spans="1:7" s="2" customFormat="1" ht="15.75" x14ac:dyDescent="0.25">
      <c r="A36" s="38"/>
      <c r="B36" s="38"/>
      <c r="C36" s="38"/>
      <c r="D36" s="38"/>
      <c r="E36" s="38"/>
      <c r="F36" s="38"/>
      <c r="G36" s="38"/>
    </row>
    <row r="37" spans="1:7" s="2" customFormat="1" ht="15.75" x14ac:dyDescent="0.25">
      <c r="A37" s="38"/>
      <c r="B37" s="38"/>
      <c r="C37" s="38"/>
      <c r="D37" s="38"/>
      <c r="E37" s="38"/>
      <c r="F37" s="38"/>
      <c r="G37" s="38"/>
    </row>
    <row r="38" spans="1:7" s="2" customFormat="1" ht="15.75" x14ac:dyDescent="0.25">
      <c r="A38" s="38"/>
      <c r="B38" s="38"/>
      <c r="C38" s="38"/>
      <c r="D38" s="38"/>
      <c r="E38" s="38"/>
      <c r="F38" s="38"/>
      <c r="G38" s="38"/>
    </row>
    <row r="39" spans="1:7" s="2" customFormat="1" ht="15.75" x14ac:dyDescent="0.25">
      <c r="A39" s="38"/>
      <c r="B39" s="38"/>
      <c r="C39" s="38"/>
      <c r="D39" s="38"/>
      <c r="E39" s="38"/>
      <c r="F39" s="38"/>
      <c r="G39" s="38"/>
    </row>
    <row r="40" spans="1:7" s="2" customFormat="1" ht="15.75" x14ac:dyDescent="0.25">
      <c r="A40" s="38"/>
      <c r="B40" s="38"/>
      <c r="C40" s="38"/>
      <c r="D40" s="38"/>
      <c r="E40" s="38"/>
      <c r="F40" s="38"/>
      <c r="G40" s="38"/>
    </row>
    <row r="41" spans="1:7" s="2" customFormat="1" ht="15.75" x14ac:dyDescent="0.25">
      <c r="A41" s="38"/>
      <c r="B41" s="38"/>
      <c r="C41" s="38"/>
      <c r="D41" s="38"/>
      <c r="E41" s="38"/>
      <c r="F41" s="38"/>
      <c r="G41" s="38"/>
    </row>
    <row r="42" spans="1:7" s="2" customFormat="1" ht="15.75" x14ac:dyDescent="0.25">
      <c r="A42" s="38"/>
      <c r="B42" s="38"/>
      <c r="C42" s="38"/>
      <c r="D42" s="38"/>
      <c r="E42" s="38"/>
      <c r="F42" s="38"/>
      <c r="G42" s="38"/>
    </row>
    <row r="43" spans="1:7" s="2" customFormat="1" ht="15.75" x14ac:dyDescent="0.25">
      <c r="A43" s="38"/>
      <c r="B43" s="38"/>
      <c r="C43" s="38"/>
      <c r="D43" s="38"/>
      <c r="E43" s="38"/>
      <c r="F43" s="38"/>
      <c r="G43" s="38"/>
    </row>
    <row r="44" spans="1:7" s="2" customFormat="1" ht="15.75" x14ac:dyDescent="0.25">
      <c r="A44" s="38"/>
      <c r="B44" s="38"/>
      <c r="C44" s="38"/>
      <c r="D44" s="38"/>
      <c r="E44" s="38"/>
      <c r="F44" s="38"/>
      <c r="G44" s="38"/>
    </row>
    <row r="45" spans="1:7" s="2" customFormat="1" ht="15.75" x14ac:dyDescent="0.25">
      <c r="A45" s="38"/>
      <c r="B45" s="38"/>
      <c r="C45" s="38"/>
      <c r="D45" s="38"/>
      <c r="E45" s="38"/>
      <c r="F45" s="38"/>
      <c r="G45" s="38"/>
    </row>
    <row r="46" spans="1:7" s="2" customFormat="1" ht="15.75" x14ac:dyDescent="0.25">
      <c r="A46" s="38"/>
      <c r="B46" s="38"/>
      <c r="C46" s="38"/>
      <c r="D46" s="38"/>
      <c r="E46" s="38"/>
      <c r="F46" s="38"/>
      <c r="G46" s="38"/>
    </row>
    <row r="47" spans="1:7" s="2" customFormat="1" ht="15.75" x14ac:dyDescent="0.25">
      <c r="A47" s="38"/>
      <c r="B47" s="38"/>
      <c r="C47" s="38"/>
      <c r="D47" s="38"/>
      <c r="E47" s="38"/>
      <c r="F47" s="38"/>
      <c r="G47" s="38"/>
    </row>
    <row r="48" spans="1:7" s="2" customFormat="1" ht="15.75" x14ac:dyDescent="0.25">
      <c r="A48" s="38"/>
      <c r="B48" s="38"/>
      <c r="C48" s="38"/>
      <c r="D48" s="38"/>
      <c r="E48" s="38"/>
      <c r="F48" s="38"/>
      <c r="G48" s="38"/>
    </row>
    <row r="49" spans="1:14" s="2" customFormat="1" ht="15.75" x14ac:dyDescent="0.25">
      <c r="A49" s="38"/>
      <c r="B49" s="38"/>
      <c r="C49" s="38"/>
      <c r="D49" s="38"/>
      <c r="E49" s="38"/>
      <c r="F49" s="38"/>
      <c r="G49" s="38"/>
    </row>
    <row r="50" spans="1:14" s="2" customFormat="1" ht="15.75" x14ac:dyDescent="0.25">
      <c r="A50" s="38"/>
      <c r="B50" s="38"/>
      <c r="C50" s="38"/>
      <c r="D50" s="38"/>
      <c r="E50" s="38"/>
      <c r="F50" s="38"/>
      <c r="G50" s="38"/>
    </row>
    <row r="51" spans="1:14" s="2" customFormat="1" ht="15.75" x14ac:dyDescent="0.25">
      <c r="A51" s="38"/>
      <c r="B51" s="38"/>
      <c r="C51" s="38"/>
      <c r="D51" s="38"/>
      <c r="E51" s="38"/>
      <c r="F51" s="38"/>
      <c r="G51" s="38"/>
    </row>
    <row r="52" spans="1:14" s="2" customFormat="1" ht="15.75" x14ac:dyDescent="0.25">
      <c r="A52" s="38"/>
      <c r="B52" s="38"/>
      <c r="C52" s="38"/>
      <c r="D52" s="38"/>
      <c r="E52" s="38"/>
      <c r="F52" s="38"/>
      <c r="G52" s="38"/>
    </row>
    <row r="53" spans="1:14" s="2" customFormat="1" ht="15.75" x14ac:dyDescent="0.25">
      <c r="A53" s="38"/>
      <c r="B53" s="38"/>
      <c r="C53" s="38"/>
      <c r="D53" s="38"/>
      <c r="E53" s="38"/>
      <c r="F53" s="38"/>
      <c r="G53" s="38"/>
    </row>
    <row r="54" spans="1:14" s="2" customFormat="1" ht="15.75" x14ac:dyDescent="0.25">
      <c r="A54" s="38"/>
      <c r="B54" s="38"/>
      <c r="C54" s="38"/>
      <c r="D54" s="38"/>
      <c r="E54" s="38"/>
      <c r="F54" s="38"/>
      <c r="G54" s="38"/>
    </row>
    <row r="56" spans="1:14" ht="15.75" x14ac:dyDescent="0.25">
      <c r="A56" s="3" t="s">
        <v>1</v>
      </c>
      <c r="H56" s="24" t="s">
        <v>27</v>
      </c>
      <c r="L56" s="24" t="s">
        <v>28</v>
      </c>
    </row>
    <row r="57" spans="1:14" s="2" customFormat="1" ht="15.75" x14ac:dyDescent="0.25">
      <c r="A57" s="4" t="s">
        <v>2</v>
      </c>
      <c r="B57" s="4" t="s">
        <v>3</v>
      </c>
      <c r="C57" s="4" t="s">
        <v>7</v>
      </c>
      <c r="H57" s="4" t="s">
        <v>2</v>
      </c>
      <c r="I57" s="4" t="s">
        <v>3</v>
      </c>
      <c r="J57" s="4" t="s">
        <v>7</v>
      </c>
      <c r="L57" s="4" t="s">
        <v>2</v>
      </c>
      <c r="M57" s="4" t="s">
        <v>3</v>
      </c>
      <c r="N57" s="4" t="s">
        <v>7</v>
      </c>
    </row>
    <row r="58" spans="1:14" s="2" customFormat="1" ht="15.75" x14ac:dyDescent="0.25">
      <c r="A58" s="6">
        <v>1</v>
      </c>
      <c r="B58" s="7" t="s">
        <v>8</v>
      </c>
      <c r="C58" s="17"/>
      <c r="H58" s="5">
        <v>1</v>
      </c>
      <c r="I58" s="8" t="s">
        <v>29</v>
      </c>
      <c r="J58" s="12">
        <v>5000</v>
      </c>
      <c r="L58" s="5">
        <v>1</v>
      </c>
      <c r="M58" s="8" t="s">
        <v>30</v>
      </c>
      <c r="N58" s="12">
        <v>30000</v>
      </c>
    </row>
    <row r="59" spans="1:14" s="2" customFormat="1" ht="31.5" x14ac:dyDescent="0.25">
      <c r="A59" s="5" t="s">
        <v>9</v>
      </c>
      <c r="B59" s="8" t="s">
        <v>12</v>
      </c>
      <c r="C59" s="18">
        <v>15</v>
      </c>
      <c r="H59" s="5">
        <v>2</v>
      </c>
      <c r="I59" s="8" t="s">
        <v>31</v>
      </c>
      <c r="J59" s="12">
        <v>3000</v>
      </c>
      <c r="L59" s="5">
        <v>2</v>
      </c>
      <c r="M59" s="8" t="s">
        <v>32</v>
      </c>
      <c r="N59" s="12">
        <v>5000</v>
      </c>
    </row>
    <row r="60" spans="1:14" s="2" customFormat="1" ht="31.5" x14ac:dyDescent="0.25">
      <c r="A60" s="5" t="s">
        <v>11</v>
      </c>
      <c r="B60" s="8" t="s">
        <v>33</v>
      </c>
      <c r="C60" s="18">
        <v>11</v>
      </c>
      <c r="H60" s="5">
        <v>3</v>
      </c>
      <c r="I60" s="8" t="s">
        <v>34</v>
      </c>
      <c r="J60" s="16">
        <f>J58*J59</f>
        <v>15000000</v>
      </c>
      <c r="L60" s="9">
        <v>3</v>
      </c>
      <c r="M60" s="10" t="s">
        <v>35</v>
      </c>
      <c r="N60" s="25">
        <f>N58*N59</f>
        <v>150000000</v>
      </c>
    </row>
    <row r="61" spans="1:14" s="2" customFormat="1" ht="15.75" x14ac:dyDescent="0.25">
      <c r="A61" s="5" t="s">
        <v>13</v>
      </c>
      <c r="B61" s="8" t="s">
        <v>10</v>
      </c>
      <c r="C61" s="26">
        <f>C59-C60</f>
        <v>4</v>
      </c>
      <c r="H61" s="5">
        <v>4</v>
      </c>
      <c r="I61" s="8" t="s">
        <v>36</v>
      </c>
      <c r="J61" s="27">
        <v>0.12</v>
      </c>
      <c r="L61" s="5">
        <v>4</v>
      </c>
      <c r="M61" s="8" t="s">
        <v>37</v>
      </c>
      <c r="N61" s="12">
        <v>10</v>
      </c>
    </row>
    <row r="62" spans="1:14" s="2" customFormat="1" ht="31.5" x14ac:dyDescent="0.25">
      <c r="A62" s="9" t="s">
        <v>13</v>
      </c>
      <c r="B62" s="10" t="s">
        <v>14</v>
      </c>
      <c r="C62" s="19">
        <f>C61/C59</f>
        <v>0.26666666666666666</v>
      </c>
      <c r="H62" s="9">
        <v>5</v>
      </c>
      <c r="I62" s="10" t="s">
        <v>38</v>
      </c>
      <c r="J62" s="25">
        <f>J60/J61</f>
        <v>125000000</v>
      </c>
      <c r="L62" s="5">
        <v>5</v>
      </c>
      <c r="M62" s="8" t="s">
        <v>39</v>
      </c>
      <c r="N62" s="12">
        <v>1000000</v>
      </c>
    </row>
    <row r="63" spans="1:14" s="2" customFormat="1" ht="15.75" x14ac:dyDescent="0.25">
      <c r="A63" s="6">
        <v>2</v>
      </c>
      <c r="B63" s="7" t="s">
        <v>15</v>
      </c>
      <c r="C63" s="17"/>
      <c r="H63" s="5">
        <v>6</v>
      </c>
      <c r="I63" s="8" t="s">
        <v>37</v>
      </c>
      <c r="J63" s="12">
        <v>2</v>
      </c>
      <c r="L63" s="9">
        <v>6</v>
      </c>
      <c r="M63" s="10" t="s">
        <v>40</v>
      </c>
      <c r="N63" s="25">
        <f>N61*N62</f>
        <v>10000000</v>
      </c>
    </row>
    <row r="64" spans="1:14" s="2" customFormat="1" ht="31.5" x14ac:dyDescent="0.25">
      <c r="A64" s="9" t="s">
        <v>16</v>
      </c>
      <c r="B64" s="10" t="s">
        <v>17</v>
      </c>
      <c r="C64" s="28">
        <v>0</v>
      </c>
      <c r="D64" s="2" t="s">
        <v>41</v>
      </c>
      <c r="H64" s="5">
        <v>7</v>
      </c>
      <c r="I64" s="8" t="s">
        <v>42</v>
      </c>
      <c r="J64" s="12">
        <v>100000</v>
      </c>
      <c r="L64" s="5">
        <v>7</v>
      </c>
      <c r="M64" s="11" t="s">
        <v>43</v>
      </c>
      <c r="N64" s="29">
        <f>(N60+N63)/1000000</f>
        <v>160</v>
      </c>
    </row>
    <row r="65" spans="1:15" s="2" customFormat="1" ht="31.5" x14ac:dyDescent="0.25">
      <c r="A65" s="6">
        <v>3</v>
      </c>
      <c r="B65" s="7" t="s">
        <v>18</v>
      </c>
      <c r="C65" s="17"/>
      <c r="H65" s="9">
        <v>8</v>
      </c>
      <c r="I65" s="10" t="s">
        <v>40</v>
      </c>
      <c r="J65" s="25">
        <f>J63*100*J64</f>
        <v>20000000</v>
      </c>
    </row>
    <row r="66" spans="1:15" s="2" customFormat="1" ht="47.25" x14ac:dyDescent="0.25">
      <c r="A66" s="5" t="s">
        <v>4</v>
      </c>
      <c r="B66" s="8" t="s">
        <v>44</v>
      </c>
      <c r="C66" s="12">
        <v>700</v>
      </c>
      <c r="H66" s="6">
        <v>9</v>
      </c>
      <c r="I66" s="11" t="s">
        <v>45</v>
      </c>
      <c r="J66" s="29">
        <f>(J62+J65)/1000000</f>
        <v>145</v>
      </c>
    </row>
    <row r="67" spans="1:15" s="2" customFormat="1" ht="31.5" x14ac:dyDescent="0.25">
      <c r="A67" s="5" t="s">
        <v>5</v>
      </c>
      <c r="B67" s="8" t="s">
        <v>46</v>
      </c>
      <c r="C67" s="20">
        <f>C68+C69+C70</f>
        <v>385</v>
      </c>
      <c r="D67" s="22" t="s">
        <v>19</v>
      </c>
    </row>
    <row r="68" spans="1:15" s="2" customFormat="1" ht="47.25" x14ac:dyDescent="0.25">
      <c r="A68" s="30" t="s">
        <v>47</v>
      </c>
      <c r="B68" s="31" t="s">
        <v>45</v>
      </c>
      <c r="C68" s="32">
        <f>J66</f>
        <v>145</v>
      </c>
      <c r="D68" s="22" t="s">
        <v>48</v>
      </c>
      <c r="H68" s="24" t="s">
        <v>49</v>
      </c>
      <c r="I68"/>
      <c r="J68"/>
      <c r="L68" s="24" t="s">
        <v>50</v>
      </c>
      <c r="M68"/>
      <c r="N68"/>
    </row>
    <row r="69" spans="1:15" s="2" customFormat="1" ht="31.5" x14ac:dyDescent="0.25">
      <c r="A69" s="30" t="s">
        <v>51</v>
      </c>
      <c r="B69" s="31" t="s">
        <v>43</v>
      </c>
      <c r="C69" s="32">
        <f>N64</f>
        <v>160</v>
      </c>
      <c r="D69" s="22" t="s">
        <v>48</v>
      </c>
      <c r="H69" s="4" t="s">
        <v>2</v>
      </c>
      <c r="I69" s="4" t="s">
        <v>3</v>
      </c>
      <c r="J69" s="4" t="s">
        <v>7</v>
      </c>
      <c r="L69" s="4" t="s">
        <v>2</v>
      </c>
      <c r="M69" s="4" t="s">
        <v>3</v>
      </c>
      <c r="N69" s="4" t="s">
        <v>7</v>
      </c>
    </row>
    <row r="70" spans="1:15" s="2" customFormat="1" ht="31.5" x14ac:dyDescent="0.25">
      <c r="A70" s="30" t="s">
        <v>52</v>
      </c>
      <c r="B70" s="31" t="s">
        <v>53</v>
      </c>
      <c r="C70" s="33">
        <v>80</v>
      </c>
      <c r="D70" s="22"/>
      <c r="H70" s="5">
        <v>1</v>
      </c>
      <c r="I70" s="8" t="s">
        <v>54</v>
      </c>
      <c r="J70" s="12">
        <v>120</v>
      </c>
      <c r="L70" s="5">
        <v>1</v>
      </c>
      <c r="M70" s="8" t="s">
        <v>55</v>
      </c>
      <c r="N70" s="12">
        <v>90</v>
      </c>
    </row>
    <row r="71" spans="1:15" s="2" customFormat="1" ht="47.25" x14ac:dyDescent="0.25">
      <c r="A71" s="5" t="s">
        <v>20</v>
      </c>
      <c r="B71" s="8" t="s">
        <v>21</v>
      </c>
      <c r="C71" s="26">
        <f>C72+C73+C74</f>
        <v>612.46153846153845</v>
      </c>
      <c r="D71" s="2" t="s">
        <v>56</v>
      </c>
      <c r="H71" s="5">
        <v>2</v>
      </c>
      <c r="I71" s="8" t="s">
        <v>12</v>
      </c>
      <c r="J71" s="12">
        <v>15</v>
      </c>
      <c r="L71" s="5">
        <v>2</v>
      </c>
      <c r="M71" s="8" t="s">
        <v>57</v>
      </c>
      <c r="N71" s="18">
        <v>12.4</v>
      </c>
    </row>
    <row r="72" spans="1:15" s="2" customFormat="1" ht="31.5" x14ac:dyDescent="0.25">
      <c r="A72" s="30" t="s">
        <v>58</v>
      </c>
      <c r="B72" s="31" t="s">
        <v>59</v>
      </c>
      <c r="C72" s="32">
        <f>J77</f>
        <v>64</v>
      </c>
      <c r="D72" s="22" t="s">
        <v>48</v>
      </c>
      <c r="H72" s="5">
        <v>3</v>
      </c>
      <c r="I72" s="8" t="s">
        <v>10</v>
      </c>
      <c r="J72" s="12">
        <v>7</v>
      </c>
      <c r="L72" s="5">
        <v>3</v>
      </c>
      <c r="M72" s="8" t="s">
        <v>60</v>
      </c>
      <c r="N72" s="18">
        <v>15.6</v>
      </c>
    </row>
    <row r="73" spans="1:15" s="2" customFormat="1" ht="31.5" x14ac:dyDescent="0.25">
      <c r="A73" s="30" t="s">
        <v>61</v>
      </c>
      <c r="B73" s="31" t="s">
        <v>59</v>
      </c>
      <c r="C73" s="32">
        <f>N82</f>
        <v>52.461538461538474</v>
      </c>
      <c r="D73" s="22" t="s">
        <v>48</v>
      </c>
      <c r="H73" s="5">
        <v>4</v>
      </c>
      <c r="I73" s="8" t="s">
        <v>14</v>
      </c>
      <c r="J73" s="34">
        <f>J72/J71</f>
        <v>0.46666666666666667</v>
      </c>
      <c r="L73" s="5">
        <v>4</v>
      </c>
      <c r="M73" s="8" t="s">
        <v>62</v>
      </c>
      <c r="N73" s="35">
        <f>N71/N72</f>
        <v>0.79487179487179493</v>
      </c>
    </row>
    <row r="74" spans="1:15" s="2" customFormat="1" ht="47.25" x14ac:dyDescent="0.25">
      <c r="A74" s="30" t="s">
        <v>63</v>
      </c>
      <c r="B74" s="31" t="s">
        <v>64</v>
      </c>
      <c r="C74" s="32">
        <f>J90</f>
        <v>496</v>
      </c>
      <c r="D74" s="22" t="s">
        <v>48</v>
      </c>
      <c r="H74" s="5">
        <v>5</v>
      </c>
      <c r="I74" s="8" t="s">
        <v>17</v>
      </c>
      <c r="J74" s="27">
        <v>0</v>
      </c>
      <c r="L74" s="6">
        <v>5</v>
      </c>
      <c r="M74" s="11" t="s">
        <v>65</v>
      </c>
      <c r="N74" s="29">
        <f>N70*N73</f>
        <v>71.538461538461547</v>
      </c>
    </row>
    <row r="75" spans="1:15" s="2" customFormat="1" ht="15.75" x14ac:dyDescent="0.25">
      <c r="A75" s="9" t="s">
        <v>22</v>
      </c>
      <c r="B75" s="10" t="s">
        <v>23</v>
      </c>
      <c r="C75" s="21">
        <f>1-(C66-C67)/C71</f>
        <v>0.48568198944988694</v>
      </c>
      <c r="H75" s="5">
        <v>6</v>
      </c>
      <c r="I75" s="8" t="s">
        <v>23</v>
      </c>
      <c r="J75" s="27">
        <v>0</v>
      </c>
      <c r="K75" s="2" t="s">
        <v>66</v>
      </c>
      <c r="L75" s="5">
        <v>6</v>
      </c>
      <c r="M75" s="8" t="s">
        <v>12</v>
      </c>
      <c r="N75" s="12">
        <v>15</v>
      </c>
    </row>
    <row r="76" spans="1:15" s="2" customFormat="1" ht="15.75" x14ac:dyDescent="0.25">
      <c r="A76" s="6">
        <v>4</v>
      </c>
      <c r="B76" s="11" t="s">
        <v>24</v>
      </c>
      <c r="C76" s="23">
        <f>1-(1-C62)*(1-C64)*(1-C75)</f>
        <v>0.62283345892991704</v>
      </c>
      <c r="H76" s="9">
        <v>7</v>
      </c>
      <c r="I76" s="10" t="s">
        <v>67</v>
      </c>
      <c r="J76" s="36">
        <f>1-(1-J73)*(1-J74)*(1-J75)</f>
        <v>0.46666666666666667</v>
      </c>
      <c r="L76" s="5">
        <v>7</v>
      </c>
      <c r="M76" s="8" t="s">
        <v>33</v>
      </c>
      <c r="N76" s="12">
        <v>11</v>
      </c>
    </row>
    <row r="77" spans="1:15" s="2" customFormat="1" ht="31.5" x14ac:dyDescent="0.25">
      <c r="A77" s="6">
        <v>5</v>
      </c>
      <c r="B77" s="11" t="s">
        <v>25</v>
      </c>
      <c r="C77" s="13">
        <f>N74*(1-C76)*1000000</f>
        <v>26981914.091936707</v>
      </c>
      <c r="H77" s="6">
        <v>8</v>
      </c>
      <c r="I77" s="11" t="s">
        <v>59</v>
      </c>
      <c r="J77" s="37">
        <f>J70*(1-J76)</f>
        <v>64</v>
      </c>
      <c r="L77" s="5">
        <v>7</v>
      </c>
      <c r="M77" s="8" t="s">
        <v>10</v>
      </c>
      <c r="N77" s="16">
        <f>N75-N76</f>
        <v>4</v>
      </c>
    </row>
    <row r="78" spans="1:15" ht="15.75" x14ac:dyDescent="0.25">
      <c r="A78" s="2"/>
      <c r="B78" s="2"/>
      <c r="C78" s="2"/>
      <c r="D78" s="2"/>
      <c r="E78" s="2"/>
      <c r="F78" s="2"/>
      <c r="G78" s="2"/>
      <c r="L78" s="5">
        <v>8</v>
      </c>
      <c r="M78" s="8" t="s">
        <v>14</v>
      </c>
      <c r="N78" s="34">
        <f>N77/N75</f>
        <v>0.26666666666666666</v>
      </c>
    </row>
    <row r="79" spans="1:15" ht="15.75" x14ac:dyDescent="0.25">
      <c r="A79" s="2"/>
      <c r="B79" s="14" t="s">
        <v>6</v>
      </c>
      <c r="C79" s="15">
        <f>C77</f>
        <v>26981914.091936707</v>
      </c>
      <c r="E79" s="2"/>
      <c r="F79" s="2"/>
      <c r="G79" s="2"/>
      <c r="L79" s="5">
        <v>9</v>
      </c>
      <c r="M79" s="8" t="s">
        <v>17</v>
      </c>
      <c r="N79" s="27">
        <v>0</v>
      </c>
    </row>
    <row r="80" spans="1:15" ht="15.75" x14ac:dyDescent="0.25">
      <c r="H80" s="24" t="s">
        <v>68</v>
      </c>
      <c r="K80" s="2"/>
      <c r="L80" s="5">
        <v>10</v>
      </c>
      <c r="M80" s="8" t="s">
        <v>23</v>
      </c>
      <c r="N80" s="27">
        <v>0</v>
      </c>
      <c r="O80" s="2" t="s">
        <v>66</v>
      </c>
    </row>
    <row r="81" spans="1:14" ht="15.75" x14ac:dyDescent="0.25">
      <c r="H81" s="4" t="s">
        <v>2</v>
      </c>
      <c r="I81" s="4" t="s">
        <v>3</v>
      </c>
      <c r="J81" s="4" t="s">
        <v>7</v>
      </c>
      <c r="K81" s="2"/>
      <c r="L81" s="9">
        <v>11</v>
      </c>
      <c r="M81" s="10" t="s">
        <v>67</v>
      </c>
      <c r="N81" s="36">
        <f>1-(1-N78)*(1-N79)*(1-N80)</f>
        <v>0.26666666666666661</v>
      </c>
    </row>
    <row r="82" spans="1:14" ht="31.5" x14ac:dyDescent="0.25">
      <c r="H82" s="5">
        <v>1</v>
      </c>
      <c r="I82" s="8" t="s">
        <v>69</v>
      </c>
      <c r="J82" s="12">
        <v>800</v>
      </c>
      <c r="K82" s="2"/>
      <c r="L82" s="5">
        <v>12</v>
      </c>
      <c r="M82" s="11" t="s">
        <v>59</v>
      </c>
      <c r="N82" s="29">
        <f>N74*(1-N81)</f>
        <v>52.461538461538474</v>
      </c>
    </row>
    <row r="83" spans="1:14" ht="15.75" x14ac:dyDescent="0.25">
      <c r="H83" s="5">
        <v>2</v>
      </c>
      <c r="I83" s="8" t="s">
        <v>70</v>
      </c>
      <c r="J83" s="27">
        <v>0.2</v>
      </c>
      <c r="K83" s="2"/>
    </row>
    <row r="84" spans="1:14" ht="15.75" x14ac:dyDescent="0.25">
      <c r="H84" s="5">
        <v>3</v>
      </c>
      <c r="I84" s="8" t="s">
        <v>71</v>
      </c>
      <c r="J84" s="27">
        <v>0.3</v>
      </c>
      <c r="K84" s="2"/>
    </row>
    <row r="85" spans="1:14" ht="15.75" x14ac:dyDescent="0.25">
      <c r="H85" s="5">
        <v>4</v>
      </c>
      <c r="I85" s="8" t="s">
        <v>72</v>
      </c>
      <c r="J85" s="27">
        <v>0.5</v>
      </c>
      <c r="K85" s="2"/>
    </row>
    <row r="86" spans="1:14" ht="31.5" x14ac:dyDescent="0.25">
      <c r="H86" s="5">
        <v>5</v>
      </c>
      <c r="I86" s="8" t="s">
        <v>73</v>
      </c>
      <c r="J86" s="34">
        <f>J83*0.2+J84*0.3+J85*0.5</f>
        <v>0.38</v>
      </c>
      <c r="K86" s="2"/>
    </row>
    <row r="87" spans="1:14" ht="15.75" x14ac:dyDescent="0.25">
      <c r="H87" s="5">
        <v>6</v>
      </c>
      <c r="I87" s="8" t="s">
        <v>17</v>
      </c>
      <c r="J87" s="27">
        <v>0</v>
      </c>
      <c r="K87" s="2"/>
    </row>
    <row r="88" spans="1:14" ht="15.75" x14ac:dyDescent="0.25">
      <c r="H88" s="5">
        <v>7</v>
      </c>
      <c r="I88" s="8" t="s">
        <v>23</v>
      </c>
      <c r="J88" s="27">
        <v>0</v>
      </c>
      <c r="K88" s="2" t="s">
        <v>66</v>
      </c>
    </row>
    <row r="89" spans="1:14" ht="15.75" x14ac:dyDescent="0.25">
      <c r="H89" s="5">
        <v>8</v>
      </c>
      <c r="I89" s="8" t="s">
        <v>67</v>
      </c>
      <c r="J89" s="34">
        <f>1-(1-J86)*(1-J87)*(1-J88)</f>
        <v>0.38</v>
      </c>
    </row>
    <row r="90" spans="1:14" ht="47.25" x14ac:dyDescent="0.25">
      <c r="H90" s="5">
        <v>9</v>
      </c>
      <c r="I90" s="11" t="s">
        <v>64</v>
      </c>
      <c r="J90" s="37">
        <f>J82*(1-J89)</f>
        <v>496</v>
      </c>
    </row>
    <row r="92" spans="1:14" hidden="1" x14ac:dyDescent="0.25"/>
    <row r="93" spans="1:14" hidden="1" x14ac:dyDescent="0.25"/>
    <row r="94" spans="1:14" s="2" customFormat="1" ht="15.75" hidden="1" x14ac:dyDescent="0.25">
      <c r="A94" s="1" t="s">
        <v>74</v>
      </c>
    </row>
    <row r="95" spans="1:14" s="2" customFormat="1" ht="15.75" hidden="1" x14ac:dyDescent="0.25">
      <c r="A95" s="3" t="s">
        <v>0</v>
      </c>
    </row>
    <row r="96" spans="1:14" s="2" customFormat="1" ht="15.75" hidden="1" x14ac:dyDescent="0.25">
      <c r="A96" s="38" t="s">
        <v>75</v>
      </c>
      <c r="B96" s="38"/>
      <c r="C96" s="38"/>
      <c r="D96" s="38"/>
      <c r="E96" s="38"/>
      <c r="F96" s="38"/>
      <c r="G96" s="38"/>
    </row>
    <row r="97" spans="1:12" s="2" customFormat="1" ht="15.75" hidden="1" x14ac:dyDescent="0.25">
      <c r="A97" s="38"/>
      <c r="B97" s="38"/>
      <c r="C97" s="38"/>
      <c r="D97" s="38"/>
      <c r="E97" s="38"/>
      <c r="F97" s="38"/>
      <c r="G97" s="38"/>
    </row>
    <row r="98" spans="1:12" s="2" customFormat="1" ht="15.75" hidden="1" x14ac:dyDescent="0.25">
      <c r="A98" s="38"/>
      <c r="B98" s="38"/>
      <c r="C98" s="38"/>
      <c r="D98" s="38"/>
      <c r="E98" s="38"/>
      <c r="F98" s="38"/>
      <c r="G98" s="38"/>
    </row>
    <row r="99" spans="1:12" s="2" customFormat="1" ht="15.75" hidden="1" x14ac:dyDescent="0.25">
      <c r="A99" s="38"/>
      <c r="B99" s="38"/>
      <c r="C99" s="38"/>
      <c r="D99" s="38"/>
      <c r="E99" s="38"/>
      <c r="F99" s="38"/>
      <c r="G99" s="38"/>
    </row>
    <row r="100" spans="1:12" s="2" customFormat="1" ht="15.75" hidden="1" x14ac:dyDescent="0.25">
      <c r="A100" s="38"/>
      <c r="B100" s="38"/>
      <c r="C100" s="38"/>
      <c r="D100" s="38"/>
      <c r="E100" s="38"/>
      <c r="F100" s="38"/>
      <c r="G100" s="38"/>
    </row>
    <row r="101" spans="1:12" s="2" customFormat="1" ht="15.75" hidden="1" x14ac:dyDescent="0.25">
      <c r="A101" s="38"/>
      <c r="B101" s="38"/>
      <c r="C101" s="38"/>
      <c r="D101" s="38"/>
      <c r="E101" s="38"/>
      <c r="F101" s="38"/>
      <c r="G101" s="38"/>
    </row>
    <row r="102" spans="1:12" s="2" customFormat="1" ht="15.75" hidden="1" x14ac:dyDescent="0.25">
      <c r="A102" s="38"/>
      <c r="B102" s="38"/>
      <c r="C102" s="38"/>
      <c r="D102" s="38"/>
      <c r="E102" s="38"/>
      <c r="F102" s="38"/>
      <c r="G102" s="38"/>
    </row>
    <row r="103" spans="1:12" s="2" customFormat="1" ht="15.75" hidden="1" x14ac:dyDescent="0.25">
      <c r="A103" s="38"/>
      <c r="B103" s="38"/>
      <c r="C103" s="38"/>
      <c r="D103" s="38"/>
      <c r="E103" s="38"/>
      <c r="F103" s="38"/>
      <c r="G103" s="38"/>
    </row>
    <row r="104" spans="1:12" hidden="1" x14ac:dyDescent="0.25"/>
    <row r="105" spans="1:12" ht="15.75" hidden="1" x14ac:dyDescent="0.25">
      <c r="A105" s="3" t="s">
        <v>1</v>
      </c>
      <c r="H105" s="24"/>
      <c r="L105" s="24"/>
    </row>
    <row r="106" spans="1:12" hidden="1" x14ac:dyDescent="0.25"/>
    <row r="107" spans="1:12" hidden="1" x14ac:dyDescent="0.25"/>
    <row r="108" spans="1:12" hidden="1" x14ac:dyDescent="0.25"/>
    <row r="109" spans="1:12" hidden="1" x14ac:dyDescent="0.25"/>
    <row r="110" spans="1:12" hidden="1" x14ac:dyDescent="0.25"/>
    <row r="111" spans="1:12" hidden="1" x14ac:dyDescent="0.25"/>
  </sheetData>
  <mergeCells count="2">
    <mergeCell ref="A33:G54"/>
    <mergeCell ref="A96:G10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A6300-0EE8-426E-8672-65E7BD050415}">
  <dimension ref="A1:S37"/>
  <sheetViews>
    <sheetView tabSelected="1" topLeftCell="B16" workbookViewId="0">
      <selection activeCell="D37" sqref="D37"/>
    </sheetView>
  </sheetViews>
  <sheetFormatPr defaultRowHeight="15" x14ac:dyDescent="0.25"/>
  <cols>
    <col min="1" max="1" width="9.85546875" style="55" customWidth="1"/>
    <col min="2" max="2" width="88.140625" style="55" customWidth="1"/>
    <col min="3" max="3" width="15.42578125" style="55" customWidth="1"/>
    <col min="4" max="4" width="22.7109375" style="39" customWidth="1"/>
    <col min="5" max="5" width="23.140625" style="39" customWidth="1"/>
    <col min="6" max="6" width="20.140625" style="39" customWidth="1"/>
    <col min="7" max="7" width="10.7109375" style="41" customWidth="1"/>
    <col min="9" max="9" width="15.42578125" customWidth="1"/>
    <col min="10" max="10" width="15" customWidth="1"/>
    <col min="17" max="17" width="19.28515625" customWidth="1"/>
  </cols>
  <sheetData>
    <row r="1" spans="1:19" ht="31.5" x14ac:dyDescent="0.25">
      <c r="A1" s="56"/>
      <c r="B1" s="55" t="s">
        <v>109</v>
      </c>
      <c r="C1" s="64" t="s">
        <v>92</v>
      </c>
      <c r="D1" s="79" t="s">
        <v>113</v>
      </c>
      <c r="E1" s="42" t="s">
        <v>83</v>
      </c>
      <c r="F1" s="42" t="s">
        <v>86</v>
      </c>
      <c r="G1" s="50" t="s">
        <v>77</v>
      </c>
      <c r="H1" s="50" t="s">
        <v>79</v>
      </c>
      <c r="I1" s="50" t="s">
        <v>81</v>
      </c>
      <c r="J1" s="50" t="s">
        <v>80</v>
      </c>
      <c r="K1" s="50" t="s">
        <v>90</v>
      </c>
      <c r="L1" s="50" t="s">
        <v>91</v>
      </c>
      <c r="M1" s="50" t="s">
        <v>89</v>
      </c>
      <c r="N1" s="50" t="s">
        <v>78</v>
      </c>
      <c r="O1" s="50" t="s">
        <v>100</v>
      </c>
      <c r="P1" s="50" t="s">
        <v>94</v>
      </c>
      <c r="Q1" s="42" t="s">
        <v>96</v>
      </c>
    </row>
    <row r="2" spans="1:19" ht="21" x14ac:dyDescent="0.25">
      <c r="A2" s="56"/>
      <c r="C2" s="47" t="s">
        <v>93</v>
      </c>
      <c r="E2" s="43"/>
      <c r="F2" s="43"/>
      <c r="G2" s="51"/>
      <c r="H2" s="52"/>
      <c r="I2" s="52"/>
      <c r="J2" s="52"/>
      <c r="K2" s="52"/>
      <c r="L2" s="52"/>
      <c r="M2" s="52"/>
      <c r="N2" s="52"/>
      <c r="O2" s="52"/>
      <c r="P2" s="52"/>
      <c r="Q2" s="45"/>
    </row>
    <row r="3" spans="1:19" ht="24" x14ac:dyDescent="0.25">
      <c r="A3" s="56"/>
      <c r="B3" s="55" t="s">
        <v>139</v>
      </c>
      <c r="D3" s="44" t="s">
        <v>114</v>
      </c>
      <c r="E3" s="44" t="s">
        <v>85</v>
      </c>
      <c r="F3" s="49" t="s">
        <v>88</v>
      </c>
      <c r="G3" s="102">
        <v>65</v>
      </c>
      <c r="H3" s="52" t="s">
        <v>102</v>
      </c>
      <c r="I3" s="50" t="s">
        <v>82</v>
      </c>
      <c r="J3" s="52" t="s">
        <v>102</v>
      </c>
      <c r="K3" s="52" t="s">
        <v>102</v>
      </c>
      <c r="L3" s="52" t="s">
        <v>102</v>
      </c>
      <c r="M3" s="52" t="s">
        <v>102</v>
      </c>
      <c r="N3" s="52" t="s">
        <v>102</v>
      </c>
      <c r="O3" s="52" t="s">
        <v>102</v>
      </c>
      <c r="P3" s="52" t="s">
        <v>102</v>
      </c>
      <c r="Q3" s="45"/>
    </row>
    <row r="4" spans="1:19" ht="24" x14ac:dyDescent="0.25">
      <c r="A4" s="56"/>
      <c r="B4" s="55" t="s">
        <v>140</v>
      </c>
      <c r="D4" s="44" t="s">
        <v>115</v>
      </c>
      <c r="E4" s="44" t="s">
        <v>85</v>
      </c>
      <c r="F4" s="49" t="s">
        <v>88</v>
      </c>
      <c r="G4" s="102">
        <v>180</v>
      </c>
      <c r="H4" s="52" t="s">
        <v>102</v>
      </c>
      <c r="I4" s="50" t="s">
        <v>82</v>
      </c>
      <c r="J4" s="52" t="s">
        <v>102</v>
      </c>
      <c r="K4" s="52" t="s">
        <v>102</v>
      </c>
      <c r="L4" s="52" t="s">
        <v>102</v>
      </c>
      <c r="M4" s="52" t="s">
        <v>102</v>
      </c>
      <c r="N4" s="52" t="s">
        <v>102</v>
      </c>
      <c r="O4" s="52" t="s">
        <v>102</v>
      </c>
      <c r="P4" s="52" t="s">
        <v>102</v>
      </c>
      <c r="Q4" s="45"/>
    </row>
    <row r="5" spans="1:19" x14ac:dyDescent="0.25">
      <c r="A5" s="56"/>
      <c r="B5" s="56" t="s">
        <v>141</v>
      </c>
      <c r="D5" s="44" t="s">
        <v>116</v>
      </c>
      <c r="E5" s="44" t="s">
        <v>85</v>
      </c>
      <c r="F5" s="49" t="s">
        <v>88</v>
      </c>
      <c r="G5" s="102">
        <v>35</v>
      </c>
      <c r="H5" s="52" t="s">
        <v>102</v>
      </c>
      <c r="I5" s="50" t="s">
        <v>82</v>
      </c>
      <c r="J5" s="52" t="s">
        <v>102</v>
      </c>
      <c r="K5" s="52" t="s">
        <v>102</v>
      </c>
      <c r="L5" s="52" t="s">
        <v>102</v>
      </c>
      <c r="M5" s="52" t="s">
        <v>102</v>
      </c>
      <c r="N5" s="52" t="s">
        <v>102</v>
      </c>
      <c r="O5" s="52" t="s">
        <v>102</v>
      </c>
      <c r="P5" s="52" t="s">
        <v>102</v>
      </c>
      <c r="Q5" s="45"/>
    </row>
    <row r="6" spans="1:19" ht="33.75" x14ac:dyDescent="0.25">
      <c r="A6" s="56"/>
      <c r="B6" s="56" t="s">
        <v>142</v>
      </c>
      <c r="D6" s="44" t="s">
        <v>110</v>
      </c>
      <c r="E6" s="44" t="s">
        <v>85</v>
      </c>
      <c r="F6" s="48" t="s">
        <v>87</v>
      </c>
      <c r="G6" s="52" t="s">
        <v>102</v>
      </c>
      <c r="H6" s="52" t="s">
        <v>102</v>
      </c>
      <c r="I6" s="50" t="s">
        <v>82</v>
      </c>
      <c r="J6" s="52" t="s">
        <v>102</v>
      </c>
      <c r="K6" s="52" t="s">
        <v>102</v>
      </c>
      <c r="L6" s="52" t="s">
        <v>102</v>
      </c>
      <c r="M6" s="50">
        <v>75</v>
      </c>
      <c r="N6" s="50">
        <v>7</v>
      </c>
      <c r="O6" s="52" t="s">
        <v>102</v>
      </c>
      <c r="P6" s="50">
        <v>15</v>
      </c>
      <c r="Q6" s="45"/>
    </row>
    <row r="7" spans="1:19" ht="24" x14ac:dyDescent="0.25">
      <c r="A7" s="56"/>
      <c r="B7" s="56" t="s">
        <v>143</v>
      </c>
      <c r="D7" s="44" t="s">
        <v>117</v>
      </c>
      <c r="E7" s="46" t="s">
        <v>84</v>
      </c>
      <c r="F7" s="43"/>
      <c r="G7" s="50">
        <v>185</v>
      </c>
      <c r="H7" s="52" t="s">
        <v>102</v>
      </c>
      <c r="I7" s="53" t="s">
        <v>95</v>
      </c>
      <c r="J7" s="52" t="s">
        <v>102</v>
      </c>
      <c r="K7" s="52" t="s">
        <v>102</v>
      </c>
      <c r="L7" s="52" t="s">
        <v>102</v>
      </c>
      <c r="M7" s="52" t="s">
        <v>102</v>
      </c>
      <c r="N7" s="52" t="s">
        <v>102</v>
      </c>
      <c r="O7" s="52" t="s">
        <v>102</v>
      </c>
      <c r="P7" s="52" t="s">
        <v>102</v>
      </c>
      <c r="Q7" s="45"/>
    </row>
    <row r="8" spans="1:19" ht="52.5" x14ac:dyDescent="0.25">
      <c r="A8" s="56"/>
      <c r="B8" s="56" t="s">
        <v>144</v>
      </c>
      <c r="D8" s="44" t="s">
        <v>118</v>
      </c>
      <c r="E8" s="44" t="s">
        <v>85</v>
      </c>
      <c r="F8" s="48" t="s">
        <v>87</v>
      </c>
      <c r="G8" s="52" t="s">
        <v>102</v>
      </c>
      <c r="H8" s="52" t="s">
        <v>102</v>
      </c>
      <c r="I8" s="50" t="s">
        <v>82</v>
      </c>
      <c r="J8" s="52" t="s">
        <v>102</v>
      </c>
      <c r="K8" s="52" t="s">
        <v>102</v>
      </c>
      <c r="L8" s="52" t="s">
        <v>102</v>
      </c>
      <c r="M8" s="50">
        <v>540</v>
      </c>
      <c r="N8" s="52" t="s">
        <v>102</v>
      </c>
      <c r="O8" s="52" t="s">
        <v>102</v>
      </c>
      <c r="P8" s="52" t="s">
        <v>102</v>
      </c>
      <c r="Q8" s="42" t="s">
        <v>97</v>
      </c>
      <c r="S8" s="54"/>
    </row>
    <row r="9" spans="1:19" ht="48" x14ac:dyDescent="0.25">
      <c r="A9" s="56"/>
      <c r="B9" s="56" t="s">
        <v>145</v>
      </c>
      <c r="C9" s="64" t="s">
        <v>120</v>
      </c>
      <c r="D9" s="44" t="s">
        <v>119</v>
      </c>
      <c r="E9" s="44" t="s">
        <v>85</v>
      </c>
      <c r="F9" s="48" t="s">
        <v>87</v>
      </c>
      <c r="G9" s="52" t="s">
        <v>102</v>
      </c>
      <c r="H9" s="50">
        <v>110</v>
      </c>
      <c r="I9" s="50" t="s">
        <v>82</v>
      </c>
      <c r="J9" s="50" t="s">
        <v>98</v>
      </c>
      <c r="K9" s="50">
        <v>12.4</v>
      </c>
      <c r="L9" s="50">
        <v>15.6</v>
      </c>
      <c r="M9" s="52" t="s">
        <v>102</v>
      </c>
      <c r="N9" s="52" t="s">
        <v>102</v>
      </c>
      <c r="O9" s="50">
        <v>11</v>
      </c>
      <c r="P9" s="50">
        <v>15</v>
      </c>
      <c r="Q9" s="45"/>
    </row>
    <row r="10" spans="1:19" ht="24" x14ac:dyDescent="0.25">
      <c r="A10" s="56"/>
      <c r="B10" s="56" t="s">
        <v>146</v>
      </c>
      <c r="E10" s="44" t="s">
        <v>101</v>
      </c>
      <c r="F10" s="43"/>
      <c r="G10" s="50">
        <v>600</v>
      </c>
      <c r="H10" s="52" t="s">
        <v>102</v>
      </c>
      <c r="I10" s="50" t="s">
        <v>82</v>
      </c>
      <c r="J10" s="52" t="s">
        <v>102</v>
      </c>
      <c r="K10" s="52" t="s">
        <v>102</v>
      </c>
      <c r="L10" s="52" t="s">
        <v>102</v>
      </c>
      <c r="M10" s="52" t="s">
        <v>102</v>
      </c>
      <c r="N10" s="52" t="s">
        <v>102</v>
      </c>
      <c r="O10" s="52" t="s">
        <v>102</v>
      </c>
      <c r="P10" s="52" t="s">
        <v>102</v>
      </c>
      <c r="Q10" s="42" t="s">
        <v>99</v>
      </c>
    </row>
    <row r="12" spans="1:19" x14ac:dyDescent="0.25">
      <c r="B12" s="57" t="s">
        <v>108</v>
      </c>
      <c r="G12" s="40"/>
    </row>
    <row r="13" spans="1:19" x14ac:dyDescent="0.25">
      <c r="A13" s="58" t="s">
        <v>2</v>
      </c>
      <c r="B13" s="58" t="s">
        <v>3</v>
      </c>
      <c r="C13" s="58" t="s">
        <v>7</v>
      </c>
      <c r="E13" s="42" t="s">
        <v>112</v>
      </c>
      <c r="F13" s="80" t="s">
        <v>76</v>
      </c>
      <c r="G13" s="42" t="s">
        <v>125</v>
      </c>
    </row>
    <row r="14" spans="1:19" x14ac:dyDescent="0.25">
      <c r="A14" s="65">
        <v>1</v>
      </c>
      <c r="B14" s="59" t="s">
        <v>104</v>
      </c>
      <c r="C14" s="66"/>
      <c r="E14" s="49" t="str">
        <f>D3</f>
        <v>Административное здание</v>
      </c>
      <c r="F14" s="82">
        <f>G3</f>
        <v>65</v>
      </c>
      <c r="G14" s="42" t="s">
        <v>124</v>
      </c>
    </row>
    <row r="15" spans="1:19" x14ac:dyDescent="0.25">
      <c r="A15" s="67" t="s">
        <v>9</v>
      </c>
      <c r="B15" s="60" t="s">
        <v>12</v>
      </c>
      <c r="C15" s="68">
        <f>P9</f>
        <v>15</v>
      </c>
      <c r="E15" s="49" t="str">
        <f t="shared" ref="E15:E16" si="0">D4</f>
        <v>Производственное здание</v>
      </c>
      <c r="F15" s="82">
        <f t="shared" ref="F15:F16" si="1">G4</f>
        <v>180</v>
      </c>
      <c r="G15" s="42" t="s">
        <v>124</v>
      </c>
    </row>
    <row r="16" spans="1:19" x14ac:dyDescent="0.25">
      <c r="A16" s="67" t="s">
        <v>11</v>
      </c>
      <c r="B16" s="60" t="s">
        <v>33</v>
      </c>
      <c r="C16" s="68">
        <f>O9</f>
        <v>11</v>
      </c>
      <c r="E16" s="49" t="str">
        <f t="shared" si="0"/>
        <v>Автотранспорт</v>
      </c>
      <c r="F16" s="82">
        <f t="shared" si="1"/>
        <v>35</v>
      </c>
      <c r="G16" s="42" t="s">
        <v>124</v>
      </c>
    </row>
    <row r="17" spans="1:12" x14ac:dyDescent="0.25">
      <c r="A17" s="67" t="s">
        <v>13</v>
      </c>
      <c r="B17" s="60" t="s">
        <v>10</v>
      </c>
      <c r="C17" s="69">
        <f>C15-C16</f>
        <v>4</v>
      </c>
    </row>
    <row r="18" spans="1:12" ht="33.75" x14ac:dyDescent="0.25">
      <c r="A18" s="70" t="s">
        <v>13</v>
      </c>
      <c r="B18" s="61" t="s">
        <v>103</v>
      </c>
      <c r="C18" s="71">
        <f>C17/C15</f>
        <v>0.26666666666666666</v>
      </c>
      <c r="E18" s="42" t="s">
        <v>121</v>
      </c>
      <c r="F18" s="42" t="s">
        <v>122</v>
      </c>
      <c r="G18" s="42" t="s">
        <v>125</v>
      </c>
      <c r="H18" s="90" t="s">
        <v>126</v>
      </c>
      <c r="I18" s="42" t="s">
        <v>125</v>
      </c>
      <c r="K18" s="88" t="s">
        <v>130</v>
      </c>
      <c r="L18" s="86" t="s">
        <v>131</v>
      </c>
    </row>
    <row r="19" spans="1:12" ht="33.75" x14ac:dyDescent="0.25">
      <c r="A19" s="65">
        <v>2</v>
      </c>
      <c r="B19" s="62" t="s">
        <v>105</v>
      </c>
      <c r="C19" s="72" t="s">
        <v>107</v>
      </c>
      <c r="E19" s="48" t="str">
        <f>D6</f>
        <v>Линия по подготовке заготовок для производства чугунных изделий</v>
      </c>
      <c r="F19" s="83">
        <f>M6</f>
        <v>75</v>
      </c>
      <c r="G19" s="44" t="s">
        <v>124</v>
      </c>
      <c r="H19" s="91">
        <f>N6/P6</f>
        <v>0.46666666666666667</v>
      </c>
      <c r="I19" s="42" t="s">
        <v>127</v>
      </c>
      <c r="K19" s="89">
        <v>0.2</v>
      </c>
      <c r="L19" s="89">
        <v>0.2</v>
      </c>
    </row>
    <row r="20" spans="1:12" ht="21" x14ac:dyDescent="0.25">
      <c r="A20" s="70" t="s">
        <v>16</v>
      </c>
      <c r="B20" s="63" t="s">
        <v>106</v>
      </c>
      <c r="C20" s="73">
        <v>0</v>
      </c>
      <c r="E20" s="48" t="str">
        <f>D8</f>
        <v>Прочие активы</v>
      </c>
      <c r="F20" s="83">
        <f>M8</f>
        <v>540</v>
      </c>
      <c r="G20" s="44" t="s">
        <v>124</v>
      </c>
      <c r="H20" s="92">
        <f>K19*L19+K20*L20+K21*L21</f>
        <v>0.38</v>
      </c>
      <c r="I20" s="87" t="s">
        <v>129</v>
      </c>
      <c r="K20" s="89">
        <v>0.3</v>
      </c>
      <c r="L20" s="89">
        <v>0.3</v>
      </c>
    </row>
    <row r="21" spans="1:12" ht="42" x14ac:dyDescent="0.25">
      <c r="A21" s="65">
        <v>3</v>
      </c>
      <c r="B21" s="75" t="s">
        <v>18</v>
      </c>
      <c r="C21" s="66"/>
      <c r="E21" s="48" t="str">
        <f>D9</f>
        <v>Линия по производству чугунных заготовок</v>
      </c>
      <c r="F21" s="84">
        <f>H9*K9/L9</f>
        <v>87.435897435897431</v>
      </c>
      <c r="G21" s="85" t="s">
        <v>123</v>
      </c>
      <c r="H21" s="91">
        <f>(P9-O9)/P9</f>
        <v>0.26666666666666666</v>
      </c>
      <c r="I21" s="42" t="s">
        <v>128</v>
      </c>
      <c r="K21" s="89">
        <v>0.5</v>
      </c>
      <c r="L21" s="89">
        <v>0.5</v>
      </c>
    </row>
    <row r="22" spans="1:12" x14ac:dyDescent="0.25">
      <c r="A22" s="67" t="s">
        <v>4</v>
      </c>
      <c r="B22" s="95" t="s">
        <v>44</v>
      </c>
      <c r="C22" s="96">
        <f>G10</f>
        <v>600</v>
      </c>
    </row>
    <row r="23" spans="1:12" x14ac:dyDescent="0.25">
      <c r="A23" s="67" t="s">
        <v>5</v>
      </c>
      <c r="B23" s="60" t="s">
        <v>132</v>
      </c>
      <c r="C23" s="76">
        <f>C24+C25+C26</f>
        <v>280</v>
      </c>
    </row>
    <row r="24" spans="1:12" x14ac:dyDescent="0.25">
      <c r="A24" s="74" t="s">
        <v>47</v>
      </c>
      <c r="B24" s="49" t="str">
        <f>E14</f>
        <v>Административное здание</v>
      </c>
      <c r="C24" s="77">
        <f>F14</f>
        <v>65</v>
      </c>
    </row>
    <row r="25" spans="1:12" x14ac:dyDescent="0.25">
      <c r="A25" s="74" t="s">
        <v>51</v>
      </c>
      <c r="B25" s="49" t="str">
        <f t="shared" ref="B25:B26" si="2">E15</f>
        <v>Производственное здание</v>
      </c>
      <c r="C25" s="77">
        <f t="shared" ref="C25:C26" si="3">F15</f>
        <v>180</v>
      </c>
    </row>
    <row r="26" spans="1:12" x14ac:dyDescent="0.25">
      <c r="A26" s="74" t="s">
        <v>52</v>
      </c>
      <c r="B26" s="49" t="str">
        <f t="shared" si="2"/>
        <v>Автотранспорт</v>
      </c>
      <c r="C26" s="77">
        <f t="shared" si="3"/>
        <v>35</v>
      </c>
    </row>
    <row r="27" spans="1:12" ht="24" x14ac:dyDescent="0.25">
      <c r="A27" s="67" t="s">
        <v>20</v>
      </c>
      <c r="B27" s="60" t="s">
        <v>133</v>
      </c>
      <c r="C27" s="78">
        <f>SUM(C28:C30)</f>
        <v>438.91965811965815</v>
      </c>
    </row>
    <row r="28" spans="1:12" x14ac:dyDescent="0.25">
      <c r="A28" s="74" t="s">
        <v>58</v>
      </c>
      <c r="B28" s="94" t="s">
        <v>110</v>
      </c>
      <c r="C28" s="93">
        <f>F19*(1-H19)</f>
        <v>40</v>
      </c>
    </row>
    <row r="29" spans="1:12" x14ac:dyDescent="0.25">
      <c r="A29" s="74" t="s">
        <v>61</v>
      </c>
      <c r="B29" s="94" t="s">
        <v>111</v>
      </c>
      <c r="C29" s="93">
        <f t="shared" ref="C29:C30" si="4">F20*(1-H20)</f>
        <v>334.8</v>
      </c>
    </row>
    <row r="30" spans="1:12" x14ac:dyDescent="0.25">
      <c r="A30" s="74"/>
      <c r="B30" s="94" t="str">
        <f>E21</f>
        <v>Линия по производству чугунных заготовок</v>
      </c>
      <c r="C30" s="93">
        <f t="shared" si="4"/>
        <v>64.119658119658126</v>
      </c>
      <c r="E30" s="104"/>
      <c r="G30" s="104"/>
    </row>
    <row r="31" spans="1:12" x14ac:dyDescent="0.25">
      <c r="A31" s="74" t="s">
        <v>63</v>
      </c>
      <c r="B31" s="55" t="s">
        <v>135</v>
      </c>
      <c r="C31" s="97">
        <f>C22-C23</f>
        <v>320</v>
      </c>
      <c r="E31" s="104"/>
    </row>
    <row r="32" spans="1:12" x14ac:dyDescent="0.25">
      <c r="A32" s="70" t="s">
        <v>22</v>
      </c>
      <c r="B32" s="98" t="s">
        <v>23</v>
      </c>
      <c r="C32" s="101">
        <f>1-C31/C27</f>
        <v>0.27093718843469594</v>
      </c>
      <c r="D32" s="39" t="s">
        <v>138</v>
      </c>
      <c r="E32" s="104"/>
    </row>
    <row r="33" spans="1:5" x14ac:dyDescent="0.25">
      <c r="A33" s="65">
        <v>4</v>
      </c>
      <c r="B33" s="100" t="s">
        <v>134</v>
      </c>
      <c r="C33" s="105">
        <f>1-(1-C18)*(1-C20)*(1-C32)</f>
        <v>0.46535393818544368</v>
      </c>
      <c r="E33" s="104"/>
    </row>
    <row r="34" spans="1:5" x14ac:dyDescent="0.25">
      <c r="A34" s="65">
        <v>5</v>
      </c>
      <c r="B34" s="98" t="s">
        <v>136</v>
      </c>
      <c r="C34" s="99">
        <f>F21*(1-C33)</f>
        <v>46.747258225324025</v>
      </c>
      <c r="D34" s="39" t="s">
        <v>137</v>
      </c>
    </row>
    <row r="35" spans="1:5" x14ac:dyDescent="0.25">
      <c r="C35" s="81"/>
    </row>
    <row r="36" spans="1:5" x14ac:dyDescent="0.25">
      <c r="C36" s="81"/>
    </row>
    <row r="37" spans="1:5" x14ac:dyDescent="0.25">
      <c r="C37" s="8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Задача 5.2.1.78 - старая версия</vt:lpstr>
      <vt:lpstr>НОВАЯ_5.2.1.78 и 5.2.1.94</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Natalia Kirshina</cp:lastModifiedBy>
  <dcterms:created xsi:type="dcterms:W3CDTF">2018-03-28T09:14:27Z</dcterms:created>
  <dcterms:modified xsi:type="dcterms:W3CDTF">2021-05-01T10:06:15Z</dcterms:modified>
</cp:coreProperties>
</file>