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Natalia Kirshina\Documents\NK\Appraise\Квал Экзамен\Движимое\"/>
    </mc:Choice>
  </mc:AlternateContent>
  <xr:revisionPtr revIDLastSave="0" documentId="13_ncr:1_{08C7328D-2CCE-4897-9876-8CDB46EF7EAE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6" sheetId="2" r:id="rId1"/>
    <sheet name="1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3" l="1"/>
  <c r="E65" i="3" s="1"/>
  <c r="F65" i="3" s="1"/>
  <c r="B65" i="3"/>
  <c r="E61" i="3"/>
  <c r="E62" i="3"/>
  <c r="E63" i="3"/>
  <c r="B61" i="3"/>
  <c r="C61" i="3"/>
  <c r="D61" i="3"/>
  <c r="B62" i="3"/>
  <c r="C62" i="3"/>
  <c r="D62" i="3"/>
  <c r="B63" i="3"/>
  <c r="C63" i="3"/>
  <c r="D63" i="3"/>
  <c r="B64" i="3"/>
  <c r="C64" i="3"/>
  <c r="D64" i="3"/>
  <c r="A62" i="3"/>
  <c r="A63" i="3"/>
  <c r="A64" i="3"/>
  <c r="C58" i="3"/>
  <c r="G53" i="3"/>
  <c r="B51" i="3"/>
  <c r="B52" i="3"/>
  <c r="B50" i="3"/>
  <c r="C22" i="3"/>
  <c r="D23" i="3"/>
  <c r="D24" i="3"/>
  <c r="D22" i="3"/>
  <c r="B31" i="3" s="1"/>
  <c r="E14" i="3"/>
  <c r="D50" i="3"/>
  <c r="D39" i="3"/>
  <c r="C52" i="3"/>
  <c r="D52" i="3" s="1"/>
  <c r="C51" i="3"/>
  <c r="D51" i="3" s="1"/>
  <c r="C40" i="3"/>
  <c r="C50" i="3"/>
  <c r="C41" i="3"/>
  <c r="D40" i="3"/>
  <c r="C39" i="3"/>
  <c r="C32" i="3"/>
  <c r="A50" i="3"/>
  <c r="A51" i="3"/>
  <c r="A52" i="3"/>
  <c r="C33" i="3"/>
  <c r="I32" i="3"/>
  <c r="B30" i="3"/>
  <c r="A24" i="3"/>
  <c r="A33" i="3" s="1"/>
  <c r="A23" i="3"/>
  <c r="A40" i="3" s="1"/>
  <c r="A22" i="3"/>
  <c r="A31" i="3" s="1"/>
  <c r="M16" i="3"/>
  <c r="C24" i="3" s="1"/>
  <c r="E24" i="3" s="1"/>
  <c r="E16" i="3"/>
  <c r="B24" i="3" s="1"/>
  <c r="M15" i="3"/>
  <c r="C23" i="3" s="1"/>
  <c r="E23" i="3" s="1"/>
  <c r="H15" i="3"/>
  <c r="D32" i="3" s="1"/>
  <c r="M14" i="3"/>
  <c r="D25" i="3" s="1"/>
  <c r="H14" i="3"/>
  <c r="B22" i="3" s="1"/>
  <c r="I31" i="3"/>
  <c r="D37" i="2"/>
  <c r="E37" i="2" s="1"/>
  <c r="C38" i="2"/>
  <c r="D38" i="2" s="1"/>
  <c r="E38" i="2" s="1"/>
  <c r="C37" i="2"/>
  <c r="B30" i="2"/>
  <c r="B38" i="2" s="1"/>
  <c r="B28" i="2"/>
  <c r="A30" i="2"/>
  <c r="A31" i="2"/>
  <c r="I30" i="2"/>
  <c r="E14" i="2"/>
  <c r="I29" i="2" s="1"/>
  <c r="C31" i="2"/>
  <c r="C39" i="2" s="1"/>
  <c r="D39" i="2" s="1"/>
  <c r="A21" i="2"/>
  <c r="A38" i="2" s="1"/>
  <c r="A22" i="2"/>
  <c r="A39" i="2" s="1"/>
  <c r="A20" i="2"/>
  <c r="A37" i="2" s="1"/>
  <c r="M16" i="2"/>
  <c r="M15" i="2"/>
  <c r="C21" i="2" s="1"/>
  <c r="D21" i="2" s="1"/>
  <c r="E21" i="2" s="1"/>
  <c r="M14" i="2"/>
  <c r="C20" i="2" s="1"/>
  <c r="D20" i="2" s="1"/>
  <c r="B29" i="2" s="1"/>
  <c r="B37" i="2" s="1"/>
  <c r="E16" i="2"/>
  <c r="I31" i="2" s="1"/>
  <c r="H15" i="2"/>
  <c r="C30" i="2" s="1"/>
  <c r="D30" i="2" s="1"/>
  <c r="H14" i="2"/>
  <c r="C29" i="2" s="1"/>
  <c r="B39" i="3" l="1"/>
  <c r="D41" i="3"/>
  <c r="E20" i="2"/>
  <c r="A41" i="3"/>
  <c r="D29" i="2"/>
  <c r="A29" i="2"/>
  <c r="A32" i="3"/>
  <c r="E22" i="3"/>
  <c r="E25" i="3" s="1"/>
  <c r="J31" i="3"/>
  <c r="B33" i="3"/>
  <c r="B32" i="3"/>
  <c r="J32" i="3"/>
  <c r="E32" i="3"/>
  <c r="F32" i="3" s="1"/>
  <c r="D33" i="3"/>
  <c r="E33" i="3" s="1"/>
  <c r="F33" i="3" s="1"/>
  <c r="I33" i="3"/>
  <c r="J33" i="3" s="1"/>
  <c r="C31" i="3"/>
  <c r="A39" i="3"/>
  <c r="C22" i="2"/>
  <c r="D22" i="2" s="1"/>
  <c r="D31" i="2"/>
  <c r="B22" i="2"/>
  <c r="E29" i="2"/>
  <c r="F29" i="2" s="1"/>
  <c r="J29" i="2"/>
  <c r="E30" i="2"/>
  <c r="F30" i="2" s="1"/>
  <c r="J30" i="2"/>
  <c r="B20" i="2"/>
  <c r="B40" i="3" l="1"/>
  <c r="E40" i="3" s="1"/>
  <c r="E51" i="3"/>
  <c r="B41" i="3"/>
  <c r="E41" i="3" s="1"/>
  <c r="E52" i="3"/>
  <c r="E50" i="3"/>
  <c r="B31" i="2"/>
  <c r="B39" i="2" s="1"/>
  <c r="E22" i="2"/>
  <c r="D23" i="2"/>
  <c r="E23" i="2"/>
  <c r="J34" i="3"/>
  <c r="J35" i="3" s="1"/>
  <c r="D31" i="3"/>
  <c r="E31" i="3" s="1"/>
  <c r="B42" i="3"/>
  <c r="E31" i="2"/>
  <c r="F31" i="2" s="1"/>
  <c r="J31" i="2"/>
  <c r="J32" i="2" s="1"/>
  <c r="E32" i="2"/>
  <c r="F32" i="2"/>
  <c r="G31" i="2" s="1"/>
  <c r="B53" i="3" l="1"/>
  <c r="E53" i="3"/>
  <c r="E39" i="3"/>
  <c r="E42" i="3" s="1"/>
  <c r="F42" i="3" s="1"/>
  <c r="J33" i="2"/>
  <c r="E39" i="2"/>
  <c r="E40" i="2" s="1"/>
  <c r="B40" i="2"/>
  <c r="E34" i="3"/>
  <c r="F31" i="3"/>
  <c r="G29" i="2"/>
  <c r="G30" i="2"/>
  <c r="F40" i="2" l="1"/>
  <c r="F34" i="3"/>
  <c r="G31" i="3" s="1"/>
  <c r="G33" i="3" l="1"/>
  <c r="G32" i="3"/>
</calcChain>
</file>

<file path=xl/sharedStrings.xml><?xml version="1.0" encoding="utf-8"?>
<sst xmlns="http://schemas.openxmlformats.org/spreadsheetml/2006/main" count="138" uniqueCount="77">
  <si>
    <t>без НДС</t>
  </si>
  <si>
    <t>с НДС</t>
  </si>
  <si>
    <t>Блок 1</t>
  </si>
  <si>
    <t>Блок 2</t>
  </si>
  <si>
    <t>Блок 3</t>
  </si>
  <si>
    <t>Сколько лет назад куплен</t>
  </si>
  <si>
    <t>б/у</t>
  </si>
  <si>
    <t>новое</t>
  </si>
  <si>
    <t>В каком состоянии куплен</t>
  </si>
  <si>
    <t>Износ на момент покупки</t>
  </si>
  <si>
    <t xml:space="preserve">Нормативный срок </t>
  </si>
  <si>
    <t>Эффективный возраст на момент покупки</t>
  </si>
  <si>
    <t>Снижение ЭВ после ремонта</t>
  </si>
  <si>
    <t>ЭВ на дату покупи с учетом ремонта</t>
  </si>
  <si>
    <t>НДС</t>
  </si>
  <si>
    <t>Цена покупки, тыс. р.</t>
  </si>
  <si>
    <t>Как изнашивается (скорость, 1 - нормально)</t>
  </si>
  <si>
    <t>Остаточный срок на момент покупки</t>
  </si>
  <si>
    <t>Цена покупки с НДС, тыс. р.</t>
  </si>
  <si>
    <t>Износ на дату покупки, %</t>
  </si>
  <si>
    <t>Стоимость нового, с НДС на дату покупки</t>
  </si>
  <si>
    <t>Эффективный возраст на дату оценки</t>
  </si>
  <si>
    <t>Износ на дату оценки, %</t>
  </si>
  <si>
    <t>Износ в рублях на дату оценки, с НДС</t>
  </si>
  <si>
    <t>это ответ на задачу</t>
  </si>
  <si>
    <t>5.2.1.76</t>
  </si>
  <si>
    <t>Стоимость на дату оценки, с НДС</t>
  </si>
  <si>
    <t>5.2.1.86</t>
  </si>
  <si>
    <t>Доля стоимости каждого блока</t>
  </si>
  <si>
    <t>Среднегодовой износ, %</t>
  </si>
  <si>
    <t>Среднегодовой износ, руб.</t>
  </si>
  <si>
    <t>Решаем задачи «про пряники». Есть модификация про кирпичи. Это неважно.</t>
  </si>
  <si>
    <t>Условие у всех задач примерно одинаковое. Есть отличие в нормативном сроке для 2 блока (5.2.1.77.), но алгоритм решения у всех в целом одинаковый.</t>
  </si>
  <si>
    <t>Что спрашивают? Разное?</t>
  </si>
  <si>
    <t>Этап 1. Составляем таблицу, в которой будет все, что мы знаем про линию. По ходу дела заполняем недостающее (уточненный ЭВ для 1 блока, нормативный срок для 1 и 3 блока, цену покупки с НДС, износ 3 блока на момент покупки – необязательно, но вдруг пригодится).</t>
  </si>
  <si>
    <t>5.2.1.76. Рассчитать износ в рублях (с НДС)</t>
  </si>
  <si>
    <r>
      <t>Итак, на примере условия задачи</t>
    </r>
    <r>
      <rPr>
        <b/>
        <sz val="9"/>
        <color theme="1"/>
        <rFont val="Calibri"/>
        <family val="2"/>
        <charset val="204"/>
        <scheme val="minor"/>
      </rPr>
      <t xml:space="preserve"> 5.2.1.76. </t>
    </r>
    <r>
      <rPr>
        <sz val="9"/>
        <color theme="1"/>
        <rFont val="Calibri"/>
        <family val="2"/>
        <charset val="204"/>
        <scheme val="minor"/>
      </rPr>
      <t>будем решать все задачи сразу.</t>
    </r>
  </si>
  <si>
    <r>
      <t xml:space="preserve">Дано: Линия по производству пряников состоит из тестомесильного блока, формовочно-выпечной машины и упаковочной части. Тестомесильный блок был куплен 3 года назад за 200 тыс. руб. с НДС с износом 60%, эффективный возраст был 5 лет, сразу был проведён ремонт, который сократил эффективный возраст на 2 года. Формовочно-выпечная машина куплена 2 года назад новой, поставлена на баланс по балансовой стоимости 200 тыс.руб., срок службы </t>
    </r>
    <r>
      <rPr>
        <b/>
        <sz val="9"/>
        <color rgb="FFFF0000"/>
        <rFont val="Calibri"/>
        <family val="2"/>
        <charset val="204"/>
        <scheme val="minor"/>
      </rPr>
      <t>6</t>
    </r>
    <r>
      <rPr>
        <sz val="9"/>
        <color theme="1"/>
        <rFont val="Calibri"/>
        <family val="2"/>
        <charset val="204"/>
        <scheme val="minor"/>
      </rPr>
      <t xml:space="preserve"> лет, из-за условий эксплуатации износ машины в 1,5 раза выше обычного. Рыночная стоимость упаковочной линии - 300 тыс. руб. с НДС, она куплена сейчас, эффективный возраст 4 года, остаточный 7 лет. Ежегодный прирост цен 10%. Износ начисляется линейно, функциональное и внешнее устаревание не выявлено.</t>
    </r>
  </si>
  <si>
    <r>
      <t>5.2.1.82.</t>
    </r>
    <r>
      <rPr>
        <sz val="9"/>
        <color rgb="FF222222"/>
        <rFont val="Calibri"/>
        <family val="2"/>
        <charset val="204"/>
        <scheme val="minor"/>
      </rPr>
      <t> Рассчитать средний годовой износ в процентах.</t>
    </r>
  </si>
  <si>
    <r>
      <t xml:space="preserve">5.2.1.83. </t>
    </r>
    <r>
      <rPr>
        <sz val="9"/>
        <color rgb="FF222222"/>
        <rFont val="Calibri"/>
        <family val="2"/>
        <charset val="204"/>
        <scheme val="minor"/>
      </rPr>
      <t>Рассчитать износ в процентах</t>
    </r>
  </si>
  <si>
    <r>
      <t xml:space="preserve">5.2.1.85. </t>
    </r>
    <r>
      <rPr>
        <sz val="9"/>
        <color rgb="FF222222"/>
        <rFont val="Calibri"/>
        <family val="2"/>
        <charset val="204"/>
        <scheme val="minor"/>
      </rPr>
      <t>Рассчитать прогнозный износ в процентах на дату 01.01.2018</t>
    </r>
    <r>
      <rPr>
        <sz val="9"/>
        <color theme="1"/>
        <rFont val="Calibri"/>
        <family val="2"/>
        <charset val="204"/>
        <scheme val="minor"/>
      </rPr>
      <t xml:space="preserve"> (через год после той даты, на которую описано состояние линии)</t>
    </r>
  </si>
  <si>
    <r>
      <t xml:space="preserve">5.2.1.86. </t>
    </r>
    <r>
      <rPr>
        <sz val="9"/>
        <color rgb="FF222222"/>
        <rFont val="Calibri"/>
        <family val="2"/>
        <charset val="204"/>
        <scheme val="minor"/>
      </rPr>
      <t>Рассчитать стоимость замещения (без НДС)</t>
    </r>
  </si>
  <si>
    <t>Этап 2. Считаем стоимость нового оборудования (рост цен 10% в год)</t>
  </si>
  <si>
    <t>Этап 3. Считаем износ и стоимость на дату оценки</t>
  </si>
  <si>
    <t>здесь можно найти ответ на задачу 5.2.1.77, если заменить ЭВ с 6 на 12 у 2 блока. Сделайте это сами!</t>
  </si>
  <si>
    <t>Этап 3. Считаем износ и стоимость на дату ЧЕРЕЗ год после даты оценки</t>
  </si>
  <si>
    <t>Стоимость нового через год после  даты оценки</t>
  </si>
  <si>
    <t>ЭВ через год после даты оценки</t>
  </si>
  <si>
    <t>Износ через год после даты оценки, %</t>
  </si>
  <si>
    <t>Износ в через год после даты оценк, с НДС</t>
  </si>
  <si>
    <t>5.2.1.85</t>
  </si>
  <si>
    <t>Среднегодовой износ считается несколько криво, но ТАК ЗАСЧИТЫВАЮТ. Будьте внимательны</t>
  </si>
  <si>
    <t>5.2.1.82</t>
  </si>
  <si>
    <t>итого, износ в рублях</t>
  </si>
  <si>
    <t>5.2.1.77</t>
  </si>
  <si>
    <t>проверьте ответ на задачу 5.2.1.77</t>
  </si>
  <si>
    <t>Стоимость нового на дату оценки с НДС</t>
  </si>
  <si>
    <t>Стоимость нового на дату оценки без НДС</t>
  </si>
  <si>
    <t>Этап 4. Считаем износ и стоимость на дату ЧЕРЕЗ год после даты оценки</t>
  </si>
  <si>
    <t xml:space="preserve">это ответ на задачу </t>
  </si>
  <si>
    <r>
      <t xml:space="preserve">5.2.1.86. </t>
    </r>
    <r>
      <rPr>
        <sz val="9"/>
        <color rgb="FF222222"/>
        <rFont val="Calibri"/>
        <family val="2"/>
        <charset val="204"/>
        <scheme val="minor"/>
      </rPr>
      <t>Рассчитать стоимость линии (с НДС)</t>
    </r>
  </si>
  <si>
    <t>Износ на дату ГОД НАЗАД</t>
  </si>
  <si>
    <t>Износ в через год после даты оценки, с НДС</t>
  </si>
  <si>
    <t>рост цен в год</t>
  </si>
  <si>
    <t>Износ год назад</t>
  </si>
  <si>
    <t>Износ год назад, с НДС</t>
  </si>
  <si>
    <r>
      <t xml:space="preserve">Этап 2. Считаем стоимость нового оборудования (рост цен </t>
    </r>
    <r>
      <rPr>
        <b/>
        <sz val="9"/>
        <color rgb="FFFF0000"/>
        <rFont val="Calibri"/>
        <family val="2"/>
        <charset val="204"/>
        <scheme val="minor"/>
      </rPr>
      <t>10%</t>
    </r>
    <r>
      <rPr>
        <sz val="9"/>
        <color rgb="FFFF0000"/>
        <rFont val="Calibri"/>
        <family val="2"/>
        <charset val="204"/>
        <scheme val="minor"/>
      </rPr>
      <t xml:space="preserve"> в год)</t>
    </r>
  </si>
  <si>
    <t>5.2.1.90</t>
  </si>
  <si>
    <t>Стоимость нового год назад с НДС</t>
  </si>
  <si>
    <t>Эффективный возраст год назад</t>
  </si>
  <si>
    <t>Износ год назад, в %</t>
  </si>
  <si>
    <r>
      <rPr>
        <b/>
        <sz val="9"/>
        <color theme="1"/>
        <rFont val="Calibri"/>
        <family val="2"/>
        <charset val="204"/>
        <scheme val="minor"/>
      </rPr>
      <t xml:space="preserve">5.2.1.76. </t>
    </r>
    <r>
      <rPr>
        <sz val="9"/>
        <color theme="1"/>
        <rFont val="Calibri"/>
        <family val="2"/>
        <charset val="204"/>
        <scheme val="minor"/>
      </rPr>
      <t xml:space="preserve">Линия по производству пряников состоит из тестомесильного блока, формовочно-выпечной машины и упаковочной части. Тестомесильный блок был куплен 3 года назад за 200 тыс. руб. с НДС с износом 60%, эффективный возраст был 5 лет, сразу был проведён ремонт, который сократил эффективный возраст на 2 года. Новая формовочно-выпечная машина куплена 2 года назад взамен неисправной, поставлена на баланс по балансовой стоимости 200 тыс.руб., срок службы </t>
    </r>
    <r>
      <rPr>
        <b/>
        <sz val="9"/>
        <color rgb="FFFF0000"/>
        <rFont val="Calibri"/>
        <family val="2"/>
        <charset val="204"/>
        <scheme val="minor"/>
      </rPr>
      <t>12</t>
    </r>
    <r>
      <rPr>
        <sz val="9"/>
        <color theme="1"/>
        <rFont val="Calibri"/>
        <family val="2"/>
        <charset val="204"/>
        <scheme val="minor"/>
      </rPr>
      <t xml:space="preserve"> лет, из-за условий эксплуатации износ машины в 1,5 раза выше обычного. Рыночная стоимость упаковочной линии - 300 тыс. руб. с НДС, она куплена сейчас, эффективный возраст 4 года, остаточный 7 лет. Ежегодный прирост цен 10%. Износ начисляется линейно, функциональное и внешнее устаревание не выявлено. Рассчитать износ в рублях (с НДС)</t>
    </r>
  </si>
  <si>
    <r>
      <rPr>
        <b/>
        <sz val="9"/>
        <color theme="1"/>
        <rFont val="Calibri"/>
        <family val="2"/>
        <charset val="204"/>
        <scheme val="minor"/>
      </rPr>
      <t xml:space="preserve">5.2.1.76. </t>
    </r>
    <r>
      <rPr>
        <sz val="9"/>
        <color theme="1"/>
        <rFont val="Calibri"/>
        <family val="2"/>
        <charset val="204"/>
        <scheme val="minor"/>
      </rPr>
      <t xml:space="preserve">Линия по производству пряников состоит из тестомесильного блока, формовочно-выпечной машины и упаковочной части. Тестомесильный блок был куплен 3 года назад за 200 тыс. руб. с НДС с износом 60%, эффективный возраст был 5 лет, сразу был проведён ремонт, который сократил эффективный возраст на 2 года. Новая формовочно-выпечная машина куплена 2 года назад взамен неисправной, поставлена на баланс по балансовой стоимости 200 тыс.руб., срок службы </t>
    </r>
    <r>
      <rPr>
        <b/>
        <sz val="9"/>
        <color rgb="FFFF0000"/>
        <rFont val="Calibri"/>
        <family val="2"/>
        <charset val="204"/>
        <scheme val="minor"/>
      </rPr>
      <t>6</t>
    </r>
    <r>
      <rPr>
        <sz val="9"/>
        <color theme="1"/>
        <rFont val="Calibri"/>
        <family val="2"/>
        <charset val="204"/>
        <scheme val="minor"/>
      </rPr>
      <t xml:space="preserve"> лет, из-за условий эксплуатации износ машины в 1,5 раза выше обычного. Рыночная стоимость упаковочной линии - 300 тыс. руб. с НДС, она куплена сейчас, эффективный возраст 4 года, остаточный 7 лет. Ежегодный прирост цен 10%. Износ начисляется линейно, функциональное и внешнее устаревание не выявлено. Рассчитать износ в рублях (с НДС)</t>
    </r>
  </si>
  <si>
    <t>5.2.1.93</t>
  </si>
  <si>
    <t>По состоянию на дату 01.01.2018 известно следующее: линия по производству пряников состоит из тестомесильного блока, формовочно-выпечной машины и упаковочной части. Тестомесильный блок был куплен 3 года назад за 200 тыс. руб. с НДС с износом 60%, эффективный возраст был 5 лет, сразу был проведён ремонт, который сократил эффективный возраст на 2 года. Новая формовочно-выпечная машина куплена 2 года назад взамен неисправной, поставлена на баланс по балансовой стоимости 200 тыс.руб., срок службы 12 лет, но из-за некачественного сырья износ машины в 1,5 раза выше обычного. Текущая рыночная стоимость упаковочной линии - 300 тыс. руб., эффективный возраст 4 года, остаточный - 7 лет. Ежегодный прирост цен 10%. Износ начисляется линейно, функциональное и внешнее устаревание не выявлено. Рассчитать износ линии на 01.01.2017.</t>
  </si>
  <si>
    <t>расчет аналогично задаче</t>
  </si>
  <si>
    <t>!!! Рыночная стоимость 3 блока "подразумевается", что включает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</si>
</sst>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222222"/>
      <name val="Calibri"/>
      <family val="2"/>
      <charset val="204"/>
      <scheme val="minor"/>
    </font>
    <font>
      <sz val="9"/>
      <color rgb="FF00B05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165" fontId="4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2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2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2" fontId="2" fillId="2" borderId="2" xfId="0" applyNumberFormat="1" applyFont="1" applyFill="1" applyBorder="1" applyAlignment="1">
      <alignment horizontal="center"/>
    </xf>
    <xf numFmtId="9" fontId="2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9" fontId="2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6" fontId="4" fillId="2" borderId="0" xfId="0" applyNumberFormat="1" applyFont="1" applyFill="1" applyAlignment="1">
      <alignment horizontal="center"/>
    </xf>
    <xf numFmtId="0" fontId="8" fillId="4" borderId="0" xfId="0" applyFont="1" applyFill="1"/>
    <xf numFmtId="0" fontId="2" fillId="5" borderId="0" xfId="0" applyFont="1" applyFill="1"/>
    <xf numFmtId="9" fontId="2" fillId="5" borderId="0" xfId="1" applyFont="1" applyFill="1"/>
    <xf numFmtId="0" fontId="3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164" fontId="2" fillId="0" borderId="0" xfId="0" applyNumberFormat="1" applyFont="1"/>
    <xf numFmtId="9" fontId="2" fillId="2" borderId="0" xfId="1" applyFont="1" applyFill="1"/>
    <xf numFmtId="9" fontId="2" fillId="0" borderId="0" xfId="0" applyNumberFormat="1" applyFont="1"/>
    <xf numFmtId="165" fontId="2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opLeftCell="A4" workbookViewId="0">
      <selection activeCell="H24" sqref="H24"/>
    </sheetView>
  </sheetViews>
  <sheetFormatPr defaultRowHeight="12" x14ac:dyDescent="0.2"/>
  <cols>
    <col min="1" max="1" width="13.28515625" style="11" customWidth="1"/>
    <col min="2" max="7" width="14.140625" style="11" customWidth="1"/>
    <col min="8" max="8" width="23.85546875" style="11" customWidth="1"/>
    <col min="9" max="12" width="14.140625" style="11" customWidth="1"/>
    <col min="13" max="13" width="17.28515625" style="11" customWidth="1"/>
    <col min="14" max="16384" width="9.140625" style="11"/>
  </cols>
  <sheetData>
    <row r="1" spans="1:13" x14ac:dyDescent="0.2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x14ac:dyDescent="0.2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">
      <c r="A4" s="47" t="s">
        <v>37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x14ac:dyDescent="0.2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x14ac:dyDescent="0.2">
      <c r="A6" s="47" t="s">
        <v>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x14ac:dyDescent="0.2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x14ac:dyDescent="0.2">
      <c r="A8" s="47" t="s">
        <v>39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x14ac:dyDescent="0.2">
      <c r="A9" s="47" t="s">
        <v>40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x14ac:dyDescent="0.2">
      <c r="A10" s="47" t="s">
        <v>60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34.5" customHeight="1" x14ac:dyDescent="0.2">
      <c r="A11" s="44" t="s">
        <v>34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77.25" customHeight="1" x14ac:dyDescent="0.2">
      <c r="A12" s="47" t="s">
        <v>72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48" x14ac:dyDescent="0.2">
      <c r="A13" s="1"/>
      <c r="B13" s="2" t="s">
        <v>5</v>
      </c>
      <c r="C13" s="2" t="s">
        <v>8</v>
      </c>
      <c r="D13" s="2" t="s">
        <v>9</v>
      </c>
      <c r="E13" s="2" t="s">
        <v>10</v>
      </c>
      <c r="F13" s="2" t="s">
        <v>11</v>
      </c>
      <c r="G13" s="2" t="s">
        <v>12</v>
      </c>
      <c r="H13" s="2" t="s">
        <v>13</v>
      </c>
      <c r="I13" s="2" t="s">
        <v>17</v>
      </c>
      <c r="J13" s="2" t="s">
        <v>15</v>
      </c>
      <c r="K13" s="2" t="s">
        <v>14</v>
      </c>
      <c r="L13" s="2" t="s">
        <v>16</v>
      </c>
      <c r="M13" s="2" t="s">
        <v>18</v>
      </c>
    </row>
    <row r="14" spans="1:13" x14ac:dyDescent="0.2">
      <c r="A14" s="1" t="s">
        <v>2</v>
      </c>
      <c r="B14" s="2">
        <v>3</v>
      </c>
      <c r="C14" s="2" t="s">
        <v>6</v>
      </c>
      <c r="D14" s="3">
        <v>0.6</v>
      </c>
      <c r="E14" s="7">
        <f>1/(D14/F14)</f>
        <v>8.3333333333333339</v>
      </c>
      <c r="F14" s="2">
        <v>5</v>
      </c>
      <c r="G14" s="2">
        <v>-2</v>
      </c>
      <c r="H14" s="4">
        <f>F14+G14</f>
        <v>3</v>
      </c>
      <c r="I14" s="2"/>
      <c r="J14" s="2">
        <v>200</v>
      </c>
      <c r="K14" s="2" t="s">
        <v>1</v>
      </c>
      <c r="L14" s="2">
        <v>1</v>
      </c>
      <c r="M14" s="2">
        <f>J14</f>
        <v>200</v>
      </c>
    </row>
    <row r="15" spans="1:13" x14ac:dyDescent="0.2">
      <c r="A15" s="1" t="s">
        <v>3</v>
      </c>
      <c r="B15" s="2">
        <v>2</v>
      </c>
      <c r="C15" s="2" t="s">
        <v>7</v>
      </c>
      <c r="D15" s="2">
        <v>0</v>
      </c>
      <c r="E15" s="2">
        <v>6</v>
      </c>
      <c r="F15" s="2">
        <v>0</v>
      </c>
      <c r="G15" s="2">
        <v>0</v>
      </c>
      <c r="H15" s="2">
        <f t="shared" ref="H15" si="0">F15+G15</f>
        <v>0</v>
      </c>
      <c r="I15" s="2"/>
      <c r="J15" s="2">
        <v>200</v>
      </c>
      <c r="K15" s="2" t="s">
        <v>0</v>
      </c>
      <c r="L15" s="2">
        <v>1.5</v>
      </c>
      <c r="M15" s="2">
        <f>J15*1.18</f>
        <v>236</v>
      </c>
    </row>
    <row r="16" spans="1:13" x14ac:dyDescent="0.2">
      <c r="A16" s="1" t="s">
        <v>4</v>
      </c>
      <c r="B16" s="2">
        <v>0</v>
      </c>
      <c r="C16" s="2" t="s">
        <v>6</v>
      </c>
      <c r="D16" s="2"/>
      <c r="E16" s="4">
        <f>H16+I16</f>
        <v>11</v>
      </c>
      <c r="F16" s="2"/>
      <c r="G16" s="2"/>
      <c r="H16" s="2">
        <v>4</v>
      </c>
      <c r="I16" s="2">
        <v>7</v>
      </c>
      <c r="J16" s="2">
        <v>300</v>
      </c>
      <c r="K16" s="2" t="s">
        <v>1</v>
      </c>
      <c r="L16" s="2">
        <v>1</v>
      </c>
      <c r="M16" s="2">
        <f>J16</f>
        <v>300</v>
      </c>
    </row>
    <row r="17" spans="1:13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">
      <c r="A18" s="44" t="s">
        <v>42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36" x14ac:dyDescent="0.2">
      <c r="A19" s="12"/>
      <c r="B19" s="2" t="s">
        <v>19</v>
      </c>
      <c r="C19" s="2" t="s">
        <v>20</v>
      </c>
      <c r="D19" s="2" t="s">
        <v>56</v>
      </c>
      <c r="E19" s="2" t="s">
        <v>57</v>
      </c>
    </row>
    <row r="20" spans="1:13" x14ac:dyDescent="0.2">
      <c r="A20" s="1" t="str">
        <f>A14</f>
        <v>Блок 1</v>
      </c>
      <c r="B20" s="6">
        <f>H14/E14</f>
        <v>0.36</v>
      </c>
      <c r="C20" s="5">
        <f>M14/(1-D14)</f>
        <v>500</v>
      </c>
      <c r="D20" s="5">
        <f>C20*(1+10%)^B14</f>
        <v>665.50000000000023</v>
      </c>
      <c r="E20" s="5">
        <f>D20/1.18</f>
        <v>563.98305084745789</v>
      </c>
    </row>
    <row r="21" spans="1:13" x14ac:dyDescent="0.2">
      <c r="A21" s="1" t="str">
        <f>A15</f>
        <v>Блок 2</v>
      </c>
      <c r="B21" s="6">
        <v>0</v>
      </c>
      <c r="C21" s="5">
        <f>M15</f>
        <v>236</v>
      </c>
      <c r="D21" s="5">
        <f>C21*(1+10%)^B15</f>
        <v>285.56000000000006</v>
      </c>
      <c r="E21" s="5">
        <f t="shared" ref="E21:E22" si="1">D21/1.18</f>
        <v>242.00000000000006</v>
      </c>
    </row>
    <row r="22" spans="1:13" ht="12.75" thickBot="1" x14ac:dyDescent="0.25">
      <c r="A22" s="1" t="str">
        <f>A16</f>
        <v>Блок 3</v>
      </c>
      <c r="B22" s="6">
        <f>H16/E16</f>
        <v>0.36363636363636365</v>
      </c>
      <c r="C22" s="5">
        <f>M16/(1-H16/E16)</f>
        <v>471.42857142857144</v>
      </c>
      <c r="D22" s="5">
        <f>C22*(1+10%)^B16</f>
        <v>471.42857142857144</v>
      </c>
      <c r="E22" s="5">
        <f t="shared" si="1"/>
        <v>399.5157384987894</v>
      </c>
    </row>
    <row r="23" spans="1:13" ht="12.75" thickBot="1" x14ac:dyDescent="0.25">
      <c r="D23" s="10">
        <f>SUM(D20:D22)</f>
        <v>1422.4885714285717</v>
      </c>
      <c r="E23" s="10">
        <f>SUM(E20:E22)</f>
        <v>1205.4987893462473</v>
      </c>
    </row>
    <row r="24" spans="1:13" x14ac:dyDescent="0.2">
      <c r="F24" s="29"/>
    </row>
    <row r="26" spans="1:13" x14ac:dyDescent="0.2">
      <c r="A26" s="44" t="s">
        <v>43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27.75" customHeight="1" x14ac:dyDescent="0.2">
      <c r="A27" s="22"/>
      <c r="B27" s="22"/>
      <c r="C27" s="22"/>
      <c r="D27" s="22"/>
      <c r="E27" s="22"/>
      <c r="F27" s="22"/>
      <c r="G27" s="22"/>
      <c r="H27" s="22"/>
      <c r="I27" s="46" t="s">
        <v>51</v>
      </c>
      <c r="J27" s="46"/>
      <c r="K27" s="46"/>
      <c r="L27" s="22"/>
      <c r="M27" s="22"/>
    </row>
    <row r="28" spans="1:13" ht="36" x14ac:dyDescent="0.2">
      <c r="A28" s="12"/>
      <c r="B28" s="2" t="str">
        <f>D19</f>
        <v>Стоимость нового на дату оценки с НДС</v>
      </c>
      <c r="C28" s="2" t="s">
        <v>21</v>
      </c>
      <c r="D28" s="8" t="s">
        <v>22</v>
      </c>
      <c r="E28" s="8" t="s">
        <v>23</v>
      </c>
      <c r="F28" s="8" t="s">
        <v>26</v>
      </c>
      <c r="G28" s="8" t="s">
        <v>28</v>
      </c>
      <c r="I28" s="8" t="s">
        <v>29</v>
      </c>
      <c r="J28" s="8" t="s">
        <v>30</v>
      </c>
    </row>
    <row r="29" spans="1:13" x14ac:dyDescent="0.2">
      <c r="A29" s="1" t="str">
        <f>A20</f>
        <v>Блок 1</v>
      </c>
      <c r="B29" s="5">
        <f t="shared" ref="B29:B31" si="2">D20</f>
        <v>665.50000000000023</v>
      </c>
      <c r="C29" s="5">
        <f>(H14+B14)*L14</f>
        <v>6</v>
      </c>
      <c r="D29" s="6">
        <f>C29/E14</f>
        <v>0.72</v>
      </c>
      <c r="E29" s="5">
        <f>D29*D20</f>
        <v>479.16000000000014</v>
      </c>
      <c r="F29" s="5">
        <f>D20-E29</f>
        <v>186.34000000000009</v>
      </c>
      <c r="G29" s="15">
        <f>F29/$F$32</f>
        <v>0.29619150559511709</v>
      </c>
      <c r="H29" s="45" t="s">
        <v>44</v>
      </c>
      <c r="I29" s="18">
        <f>1/E14</f>
        <v>0.12</v>
      </c>
      <c r="J29" s="23">
        <f>I29*D20</f>
        <v>79.860000000000028</v>
      </c>
    </row>
    <row r="30" spans="1:13" x14ac:dyDescent="0.2">
      <c r="A30" s="1" t="str">
        <f t="shared" ref="A30:A31" si="3">A21</f>
        <v>Блок 2</v>
      </c>
      <c r="B30" s="5">
        <f t="shared" si="2"/>
        <v>285.56000000000006</v>
      </c>
      <c r="C30" s="5">
        <f>(H15+B15)*L15</f>
        <v>3</v>
      </c>
      <c r="D30" s="6">
        <f>C30/E15</f>
        <v>0.5</v>
      </c>
      <c r="E30" s="5">
        <f>D30*D21</f>
        <v>142.78000000000003</v>
      </c>
      <c r="F30" s="5">
        <f>D21-E30</f>
        <v>142.78000000000003</v>
      </c>
      <c r="G30" s="15">
        <f>F30/$F$32</f>
        <v>0.22695193285859613</v>
      </c>
      <c r="H30" s="45"/>
      <c r="I30" s="18">
        <f>1/E15</f>
        <v>0.16666666666666666</v>
      </c>
      <c r="J30" s="23">
        <f>I30*D21</f>
        <v>47.593333333333341</v>
      </c>
    </row>
    <row r="31" spans="1:13" ht="20.25" customHeight="1" thickBot="1" x14ac:dyDescent="0.25">
      <c r="A31" s="1" t="str">
        <f t="shared" si="3"/>
        <v>Блок 3</v>
      </c>
      <c r="B31" s="5">
        <f t="shared" si="2"/>
        <v>471.42857142857144</v>
      </c>
      <c r="C31" s="5">
        <f>(H16+B16)*L16</f>
        <v>4</v>
      </c>
      <c r="D31" s="6">
        <f>C31/E16</f>
        <v>0.36363636363636365</v>
      </c>
      <c r="E31" s="9">
        <f>D31*D22</f>
        <v>171.42857142857144</v>
      </c>
      <c r="F31" s="5">
        <f>D22-E31</f>
        <v>300</v>
      </c>
      <c r="G31" s="15">
        <f>F31/$F$32</f>
        <v>0.47685656154628681</v>
      </c>
      <c r="H31" s="45"/>
      <c r="I31" s="18">
        <f>1/E16</f>
        <v>9.0909090909090912E-2</v>
      </c>
      <c r="J31" s="23">
        <f>I31*D22</f>
        <v>42.857142857142861</v>
      </c>
    </row>
    <row r="32" spans="1:13" ht="12.75" thickBot="1" x14ac:dyDescent="0.25">
      <c r="E32" s="10">
        <f>SUM(E29:E31)</f>
        <v>793.36857142857161</v>
      </c>
      <c r="F32" s="10">
        <f>SUM(F29:F31)</f>
        <v>629.12000000000012</v>
      </c>
      <c r="J32" s="19">
        <f>SUM(J29:J31)</f>
        <v>170.31047619047624</v>
      </c>
      <c r="K32" s="11" t="s">
        <v>53</v>
      </c>
    </row>
    <row r="33" spans="1:13" ht="24.75" thickBot="1" x14ac:dyDescent="0.25">
      <c r="E33" s="8" t="s">
        <v>24</v>
      </c>
      <c r="J33" s="21">
        <f>J32/D23</f>
        <v>0.11972713145908613</v>
      </c>
      <c r="K33" s="8" t="s">
        <v>24</v>
      </c>
    </row>
    <row r="34" spans="1:13" x14ac:dyDescent="0.2">
      <c r="E34" s="8" t="s">
        <v>25</v>
      </c>
      <c r="K34" s="8" t="s">
        <v>52</v>
      </c>
    </row>
    <row r="35" spans="1:13" x14ac:dyDescent="0.2">
      <c r="A35" s="44" t="s">
        <v>58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48" x14ac:dyDescent="0.2">
      <c r="A36" s="12"/>
      <c r="B36" s="2" t="s">
        <v>46</v>
      </c>
      <c r="C36" s="2" t="s">
        <v>47</v>
      </c>
      <c r="D36" s="8" t="s">
        <v>48</v>
      </c>
      <c r="E36" s="8" t="s">
        <v>49</v>
      </c>
      <c r="F36" s="8" t="s">
        <v>48</v>
      </c>
    </row>
    <row r="37" spans="1:13" x14ac:dyDescent="0.2">
      <c r="A37" s="1" t="str">
        <f>A20</f>
        <v>Блок 1</v>
      </c>
      <c r="B37" s="5">
        <f>B29*(1+10%)</f>
        <v>732.0500000000003</v>
      </c>
      <c r="C37" s="16">
        <f>C29+1</f>
        <v>7</v>
      </c>
      <c r="D37" s="18">
        <f>C37/E14</f>
        <v>0.84</v>
      </c>
      <c r="E37" s="5">
        <f>D37*B37</f>
        <v>614.92200000000025</v>
      </c>
    </row>
    <row r="38" spans="1:13" x14ac:dyDescent="0.2">
      <c r="A38" s="1" t="str">
        <f>A21</f>
        <v>Блок 2</v>
      </c>
      <c r="B38" s="5">
        <f t="shared" ref="B38:B39" si="4">B30*(1+10%)</f>
        <v>314.1160000000001</v>
      </c>
      <c r="C38" s="17">
        <f>(B15+1)*L15</f>
        <v>4.5</v>
      </c>
      <c r="D38" s="18">
        <f>C38/E15</f>
        <v>0.75</v>
      </c>
      <c r="E38" s="5">
        <f t="shared" ref="E38:E39" si="5">D38*B38</f>
        <v>235.58700000000007</v>
      </c>
    </row>
    <row r="39" spans="1:13" ht="12.75" thickBot="1" x14ac:dyDescent="0.25">
      <c r="A39" s="1" t="str">
        <f>A22</f>
        <v>Блок 3</v>
      </c>
      <c r="B39" s="5">
        <f t="shared" si="4"/>
        <v>518.57142857142867</v>
      </c>
      <c r="C39" s="16">
        <f>C31+1</f>
        <v>5</v>
      </c>
      <c r="D39" s="18">
        <f>C39/E16</f>
        <v>0.45454545454545453</v>
      </c>
      <c r="E39" s="5">
        <f t="shared" si="5"/>
        <v>235.71428571428575</v>
      </c>
    </row>
    <row r="40" spans="1:13" ht="12.75" thickBot="1" x14ac:dyDescent="0.25">
      <c r="B40" s="20">
        <f>SUM(B37:B39)</f>
        <v>1564.7374285714291</v>
      </c>
      <c r="E40" s="20">
        <f>SUM(E37:E39)</f>
        <v>1086.223285714286</v>
      </c>
      <c r="F40" s="21">
        <f>E40/B40</f>
        <v>0.69418885614948445</v>
      </c>
    </row>
    <row r="41" spans="1:13" ht="24" x14ac:dyDescent="0.2">
      <c r="F41" s="8" t="s">
        <v>24</v>
      </c>
    </row>
    <row r="42" spans="1:13" x14ac:dyDescent="0.2">
      <c r="F42" s="8" t="s">
        <v>50</v>
      </c>
    </row>
  </sheetData>
  <mergeCells count="17">
    <mergeCell ref="A6:M6"/>
    <mergeCell ref="A12:M12"/>
    <mergeCell ref="A7:M7"/>
    <mergeCell ref="A8:M8"/>
    <mergeCell ref="A9:M9"/>
    <mergeCell ref="A10:M10"/>
    <mergeCell ref="A11:M11"/>
    <mergeCell ref="A1:M1"/>
    <mergeCell ref="A2:M2"/>
    <mergeCell ref="A3:M3"/>
    <mergeCell ref="A4:M4"/>
    <mergeCell ref="A5:M5"/>
    <mergeCell ref="A18:M18"/>
    <mergeCell ref="A26:M26"/>
    <mergeCell ref="H29:H31"/>
    <mergeCell ref="A35:M35"/>
    <mergeCell ref="I27:K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67"/>
  <sheetViews>
    <sheetView tabSelected="1" topLeftCell="A43" workbookViewId="0">
      <selection activeCell="H62" sqref="H62"/>
    </sheetView>
  </sheetViews>
  <sheetFormatPr defaultRowHeight="12" x14ac:dyDescent="0.2"/>
  <cols>
    <col min="1" max="1" width="13.28515625" style="11" customWidth="1"/>
    <col min="2" max="7" width="14.140625" style="11" customWidth="1"/>
    <col min="8" max="8" width="23.85546875" style="11" customWidth="1"/>
    <col min="9" max="12" width="14.140625" style="11" customWidth="1"/>
    <col min="13" max="13" width="17.28515625" style="11" customWidth="1"/>
    <col min="14" max="16384" width="9.140625" style="11"/>
  </cols>
  <sheetData>
    <row r="1" spans="1:15" x14ac:dyDescent="0.2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5" x14ac:dyDescent="0.2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5" x14ac:dyDescent="0.2">
      <c r="A3" s="47" t="s">
        <v>36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5" x14ac:dyDescent="0.2">
      <c r="A4" s="47" t="s">
        <v>37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5" x14ac:dyDescent="0.2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5" x14ac:dyDescent="0.2">
      <c r="A6" s="47" t="s">
        <v>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5" x14ac:dyDescent="0.2">
      <c r="A7" s="47" t="s">
        <v>38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5" x14ac:dyDescent="0.2">
      <c r="A8" s="47" t="s">
        <v>39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5" x14ac:dyDescent="0.2">
      <c r="A9" s="47" t="s">
        <v>40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5" x14ac:dyDescent="0.2">
      <c r="A10" s="47" t="s">
        <v>41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5" ht="34.5" customHeight="1" x14ac:dyDescent="0.2">
      <c r="A11" s="44" t="s">
        <v>34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5" ht="77.25" customHeight="1" x14ac:dyDescent="0.2">
      <c r="A12" s="47" t="s">
        <v>71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O12" s="42">
        <v>12</v>
      </c>
    </row>
    <row r="13" spans="1:15" ht="48" x14ac:dyDescent="0.2">
      <c r="A13" s="1"/>
      <c r="B13" s="2" t="s">
        <v>5</v>
      </c>
      <c r="C13" s="2" t="s">
        <v>8</v>
      </c>
      <c r="D13" s="2" t="s">
        <v>9</v>
      </c>
      <c r="E13" s="2" t="s">
        <v>10</v>
      </c>
      <c r="F13" s="2" t="s">
        <v>11</v>
      </c>
      <c r="G13" s="2" t="s">
        <v>12</v>
      </c>
      <c r="H13" s="2" t="s">
        <v>13</v>
      </c>
      <c r="I13" s="2" t="s">
        <v>17</v>
      </c>
      <c r="J13" s="2" t="s">
        <v>15</v>
      </c>
      <c r="K13" s="2" t="s">
        <v>14</v>
      </c>
      <c r="L13" s="2" t="s">
        <v>16</v>
      </c>
      <c r="M13" s="2" t="s">
        <v>18</v>
      </c>
    </row>
    <row r="14" spans="1:15" x14ac:dyDescent="0.2">
      <c r="A14" s="1" t="s">
        <v>2</v>
      </c>
      <c r="B14" s="2">
        <v>3</v>
      </c>
      <c r="C14" s="2" t="s">
        <v>6</v>
      </c>
      <c r="D14" s="3">
        <v>0.6</v>
      </c>
      <c r="E14" s="7">
        <f>1/(D14/F14)</f>
        <v>8.3333333333333339</v>
      </c>
      <c r="F14" s="2">
        <v>5</v>
      </c>
      <c r="G14" s="2">
        <v>-2</v>
      </c>
      <c r="H14" s="4">
        <f>F14+G14</f>
        <v>3</v>
      </c>
      <c r="I14" s="2"/>
      <c r="J14" s="2">
        <v>200</v>
      </c>
      <c r="K14" s="2" t="s">
        <v>1</v>
      </c>
      <c r="L14" s="2">
        <v>1</v>
      </c>
      <c r="M14" s="2">
        <f>J14</f>
        <v>200</v>
      </c>
    </row>
    <row r="15" spans="1:15" x14ac:dyDescent="0.2">
      <c r="A15" s="1" t="s">
        <v>3</v>
      </c>
      <c r="B15" s="2">
        <v>2</v>
      </c>
      <c r="C15" s="2" t="s">
        <v>7</v>
      </c>
      <c r="D15" s="2">
        <v>0</v>
      </c>
      <c r="E15" s="24">
        <v>12</v>
      </c>
      <c r="F15" s="2">
        <v>0</v>
      </c>
      <c r="G15" s="2">
        <v>0</v>
      </c>
      <c r="H15" s="2">
        <f t="shared" ref="H15" si="0">F15+G15</f>
        <v>0</v>
      </c>
      <c r="I15" s="2"/>
      <c r="J15" s="2">
        <v>200</v>
      </c>
      <c r="K15" s="2" t="s">
        <v>0</v>
      </c>
      <c r="L15" s="2">
        <v>1.5</v>
      </c>
      <c r="M15" s="2">
        <f>J15*1.18</f>
        <v>236</v>
      </c>
    </row>
    <row r="16" spans="1:15" x14ac:dyDescent="0.2">
      <c r="A16" s="1" t="s">
        <v>4</v>
      </c>
      <c r="B16" s="2">
        <v>0</v>
      </c>
      <c r="C16" s="2" t="s">
        <v>6</v>
      </c>
      <c r="D16" s="2"/>
      <c r="E16" s="4">
        <f>H16+I16</f>
        <v>11</v>
      </c>
      <c r="F16" s="2"/>
      <c r="G16" s="2"/>
      <c r="H16" s="2">
        <v>4</v>
      </c>
      <c r="I16" s="2">
        <v>7</v>
      </c>
      <c r="J16" s="2">
        <v>300</v>
      </c>
      <c r="K16" s="2" t="s">
        <v>1</v>
      </c>
      <c r="L16" s="2">
        <v>1</v>
      </c>
      <c r="M16" s="2">
        <f>J16</f>
        <v>300</v>
      </c>
    </row>
    <row r="17" spans="1:13" x14ac:dyDescent="0.2">
      <c r="A17" s="13"/>
      <c r="B17" s="14"/>
      <c r="C17" s="14"/>
      <c r="D17" s="14"/>
      <c r="E17" s="35"/>
      <c r="F17" s="14"/>
      <c r="G17" s="14"/>
      <c r="H17" s="14"/>
      <c r="I17" s="14"/>
      <c r="J17" s="14"/>
      <c r="K17" s="14"/>
      <c r="L17" s="14"/>
      <c r="M17" s="14"/>
    </row>
    <row r="18" spans="1:13" ht="11.25" customHeight="1" x14ac:dyDescent="0.2">
      <c r="A18" s="32" t="s">
        <v>63</v>
      </c>
      <c r="B18" s="34">
        <v>0.1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36" customFormat="1" ht="11.25" customHeight="1" x14ac:dyDescent="0.2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x14ac:dyDescent="0.2">
      <c r="A20" s="44" t="s">
        <v>66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36" x14ac:dyDescent="0.2">
      <c r="A21" s="12"/>
      <c r="B21" s="2" t="s">
        <v>19</v>
      </c>
      <c r="C21" s="2" t="s">
        <v>20</v>
      </c>
      <c r="D21" s="2" t="s">
        <v>56</v>
      </c>
      <c r="E21" s="2" t="s">
        <v>57</v>
      </c>
    </row>
    <row r="22" spans="1:13" x14ac:dyDescent="0.2">
      <c r="A22" s="1" t="str">
        <f>A14</f>
        <v>Блок 1</v>
      </c>
      <c r="B22" s="6">
        <f>H14/E14</f>
        <v>0.36</v>
      </c>
      <c r="C22" s="5">
        <f>M14/(1-D14)</f>
        <v>500</v>
      </c>
      <c r="D22" s="5">
        <f>C22*(1+$B$18)^B14</f>
        <v>665.50000000000023</v>
      </c>
      <c r="E22" s="5">
        <f>D22/1.18</f>
        <v>563.98305084745789</v>
      </c>
    </row>
    <row r="23" spans="1:13" x14ac:dyDescent="0.2">
      <c r="A23" s="1" t="str">
        <f>A15</f>
        <v>Блок 2</v>
      </c>
      <c r="B23" s="6">
        <v>0</v>
      </c>
      <c r="C23" s="5">
        <f>M15</f>
        <v>236</v>
      </c>
      <c r="D23" s="5">
        <f>C23*(1+$B$18)^B15</f>
        <v>285.56000000000006</v>
      </c>
      <c r="E23" s="5">
        <f t="shared" ref="E23:E24" si="1">D23/1.18</f>
        <v>242.00000000000006</v>
      </c>
    </row>
    <row r="24" spans="1:13" ht="12.75" thickBot="1" x14ac:dyDescent="0.25">
      <c r="A24" s="1" t="str">
        <f>A16</f>
        <v>Блок 3</v>
      </c>
      <c r="B24" s="6">
        <f>H16/E16</f>
        <v>0.36363636363636365</v>
      </c>
      <c r="C24" s="5">
        <f>M16/(1-H16/E16)</f>
        <v>471.42857142857144</v>
      </c>
      <c r="D24" s="5">
        <f>C24*(1+$B$18)^B16</f>
        <v>471.42857142857144</v>
      </c>
      <c r="E24" s="5">
        <f t="shared" si="1"/>
        <v>399.5157384987894</v>
      </c>
    </row>
    <row r="25" spans="1:13" ht="12.75" thickBot="1" x14ac:dyDescent="0.25">
      <c r="D25" s="10">
        <f>SUM(D22:D24)</f>
        <v>1422.4885714285717</v>
      </c>
      <c r="E25" s="10">
        <f>SUM(E22:E24)</f>
        <v>1205.4987893462473</v>
      </c>
    </row>
    <row r="28" spans="1:13" x14ac:dyDescent="0.2">
      <c r="A28" s="44" t="s">
        <v>43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27.75" customHeight="1" x14ac:dyDescent="0.2">
      <c r="A29" s="22"/>
      <c r="B29" s="22"/>
      <c r="C29" s="22"/>
      <c r="D29" s="22"/>
      <c r="E29" s="22"/>
      <c r="F29" s="22"/>
      <c r="G29" s="22"/>
      <c r="H29" s="22"/>
      <c r="I29" s="46" t="s">
        <v>51</v>
      </c>
      <c r="J29" s="46"/>
      <c r="K29" s="46"/>
      <c r="L29" s="22"/>
      <c r="M29" s="22"/>
    </row>
    <row r="30" spans="1:13" ht="36" x14ac:dyDescent="0.2">
      <c r="A30" s="12"/>
      <c r="B30" s="2" t="str">
        <f>D21</f>
        <v>Стоимость нового на дату оценки с НДС</v>
      </c>
      <c r="C30" s="2" t="s">
        <v>21</v>
      </c>
      <c r="D30" s="8" t="s">
        <v>22</v>
      </c>
      <c r="E30" s="8" t="s">
        <v>23</v>
      </c>
      <c r="F30" s="8" t="s">
        <v>26</v>
      </c>
      <c r="G30" s="8" t="s">
        <v>28</v>
      </c>
      <c r="I30" s="8" t="s">
        <v>29</v>
      </c>
      <c r="J30" s="8" t="s">
        <v>30</v>
      </c>
    </row>
    <row r="31" spans="1:13" x14ac:dyDescent="0.2">
      <c r="A31" s="1" t="str">
        <f>A22</f>
        <v>Блок 1</v>
      </c>
      <c r="B31" s="5">
        <f>D22</f>
        <v>665.50000000000023</v>
      </c>
      <c r="C31" s="5">
        <f>(H14+B14)*L14</f>
        <v>6</v>
      </c>
      <c r="D31" s="6">
        <f>C31/E14</f>
        <v>0.72</v>
      </c>
      <c r="E31" s="5">
        <f>D31*D22</f>
        <v>479.16000000000014</v>
      </c>
      <c r="F31" s="5">
        <f>D22-E31</f>
        <v>186.34000000000009</v>
      </c>
      <c r="G31" s="26">
        <f>F31/$F$34</f>
        <v>0.2660061954861459</v>
      </c>
      <c r="H31" s="45" t="s">
        <v>55</v>
      </c>
      <c r="I31" s="18">
        <f>1/E14</f>
        <v>0.12</v>
      </c>
      <c r="J31" s="23">
        <f>I31*D22</f>
        <v>79.860000000000028</v>
      </c>
    </row>
    <row r="32" spans="1:13" x14ac:dyDescent="0.2">
      <c r="A32" s="1" t="str">
        <f t="shared" ref="A32:A33" si="2">A23</f>
        <v>Блок 2</v>
      </c>
      <c r="B32" s="5">
        <f t="shared" ref="B32:B33" si="3">D23</f>
        <v>285.56000000000006</v>
      </c>
      <c r="C32" s="5">
        <f>(H15+B15)*L15</f>
        <v>3</v>
      </c>
      <c r="D32" s="6">
        <f>C32/E15</f>
        <v>0.25</v>
      </c>
      <c r="E32" s="5">
        <f>D32*D23</f>
        <v>71.390000000000015</v>
      </c>
      <c r="F32" s="5">
        <f>D23-E32</f>
        <v>214.17000000000004</v>
      </c>
      <c r="G32" s="26">
        <f>F32/$F$34</f>
        <v>0.30573439351329745</v>
      </c>
      <c r="H32" s="45"/>
      <c r="I32" s="18">
        <f>1/E15</f>
        <v>8.3333333333333329E-2</v>
      </c>
      <c r="J32" s="23">
        <f>I32*D23</f>
        <v>23.79666666666667</v>
      </c>
    </row>
    <row r="33" spans="1:13" ht="20.25" customHeight="1" thickBot="1" x14ac:dyDescent="0.25">
      <c r="A33" s="1" t="str">
        <f t="shared" si="2"/>
        <v>Блок 3</v>
      </c>
      <c r="B33" s="5">
        <f t="shared" si="3"/>
        <v>471.42857142857144</v>
      </c>
      <c r="C33" s="5">
        <f>(H16+B16)*L16</f>
        <v>4</v>
      </c>
      <c r="D33" s="6">
        <f>C33/E16</f>
        <v>0.36363636363636365</v>
      </c>
      <c r="E33" s="9">
        <f>D33*D24</f>
        <v>171.42857142857144</v>
      </c>
      <c r="F33" s="5">
        <f>D24-E33</f>
        <v>300</v>
      </c>
      <c r="G33" s="25">
        <f>F33/$F$34</f>
        <v>0.4282594110005567</v>
      </c>
      <c r="H33" s="45"/>
      <c r="I33" s="18">
        <f>1/E16</f>
        <v>9.0909090909090912E-2</v>
      </c>
      <c r="J33" s="23">
        <f>I33*D24</f>
        <v>42.857142857142861</v>
      </c>
    </row>
    <row r="34" spans="1:13" ht="24.75" thickBot="1" x14ac:dyDescent="0.25">
      <c r="E34" s="10">
        <f>SUM(E31:E33)</f>
        <v>721.97857142857163</v>
      </c>
      <c r="F34" s="31">
        <f>SUM(F31:F33)</f>
        <v>700.5100000000001</v>
      </c>
      <c r="G34" s="8" t="s">
        <v>24</v>
      </c>
      <c r="J34" s="28">
        <f>SUM(J31:J33)</f>
        <v>146.51380952380956</v>
      </c>
      <c r="K34" s="11" t="s">
        <v>53</v>
      </c>
    </row>
    <row r="35" spans="1:13" ht="24.75" thickBot="1" x14ac:dyDescent="0.3">
      <c r="E35" s="8"/>
      <c r="F35" s="30" t="s">
        <v>59</v>
      </c>
      <c r="G35" s="41" t="s">
        <v>54</v>
      </c>
      <c r="J35" s="27">
        <f>J34/D25</f>
        <v>0.10299823314339122</v>
      </c>
      <c r="K35" s="8"/>
    </row>
    <row r="36" spans="1:13" ht="15.75" x14ac:dyDescent="0.25">
      <c r="C36" s="39">
        <v>1</v>
      </c>
      <c r="E36" s="8"/>
      <c r="F36" s="41" t="s">
        <v>27</v>
      </c>
      <c r="K36" s="8"/>
    </row>
    <row r="37" spans="1:13" x14ac:dyDescent="0.2">
      <c r="A37" s="44" t="s">
        <v>45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48" x14ac:dyDescent="0.2">
      <c r="A38" s="12"/>
      <c r="B38" s="2" t="s">
        <v>46</v>
      </c>
      <c r="C38" s="2" t="s">
        <v>47</v>
      </c>
      <c r="D38" s="8" t="s">
        <v>48</v>
      </c>
      <c r="E38" s="8" t="s">
        <v>62</v>
      </c>
      <c r="F38" s="8" t="s">
        <v>48</v>
      </c>
    </row>
    <row r="39" spans="1:13" x14ac:dyDescent="0.2">
      <c r="A39" s="1" t="str">
        <f>A22</f>
        <v>Блок 1</v>
      </c>
      <c r="B39" s="5">
        <f>B31*(1+$B$18)</f>
        <v>732.0500000000003</v>
      </c>
      <c r="C39" s="16">
        <f>C31+C36</f>
        <v>7</v>
      </c>
      <c r="D39" s="18">
        <f>C39/E14</f>
        <v>0.84</v>
      </c>
      <c r="E39" s="5">
        <f>D39*B39</f>
        <v>614.92200000000025</v>
      </c>
    </row>
    <row r="40" spans="1:13" x14ac:dyDescent="0.2">
      <c r="A40" s="1" t="str">
        <f>A23</f>
        <v>Блок 2</v>
      </c>
      <c r="B40" s="5">
        <f>B32*(1+$B$18)</f>
        <v>314.1160000000001</v>
      </c>
      <c r="C40" s="17">
        <f>(B15+C36)*L15</f>
        <v>4.5</v>
      </c>
      <c r="D40" s="18">
        <f>C40/E15</f>
        <v>0.375</v>
      </c>
      <c r="E40" s="5">
        <f t="shared" ref="E40:E41" si="4">D40*B40</f>
        <v>117.79350000000004</v>
      </c>
    </row>
    <row r="41" spans="1:13" ht="24.75" thickBot="1" x14ac:dyDescent="0.25">
      <c r="A41" s="1" t="str">
        <f>A24</f>
        <v>Блок 3</v>
      </c>
      <c r="B41" s="5">
        <f>B33*(1+$B$18)</f>
        <v>518.57142857142867</v>
      </c>
      <c r="C41" s="16">
        <f>C33+C36</f>
        <v>5</v>
      </c>
      <c r="D41" s="18">
        <f>C41/E16</f>
        <v>0.45454545454545453</v>
      </c>
      <c r="E41" s="5">
        <f t="shared" si="4"/>
        <v>235.71428571428575</v>
      </c>
      <c r="G41" s="30" t="s">
        <v>59</v>
      </c>
    </row>
    <row r="42" spans="1:13" ht="16.5" thickBot="1" x14ac:dyDescent="0.3">
      <c r="B42" s="20">
        <f>SUM(B39:B41)</f>
        <v>1564.7374285714291</v>
      </c>
      <c r="E42" s="20">
        <f>SUM(E39:E41)</f>
        <v>968.42978571428603</v>
      </c>
      <c r="F42" s="21">
        <f>E42/B42</f>
        <v>0.61890881372885753</v>
      </c>
      <c r="G42" s="41" t="s">
        <v>50</v>
      </c>
    </row>
    <row r="43" spans="1:13" x14ac:dyDescent="0.2">
      <c r="F43" s="8"/>
    </row>
    <row r="44" spans="1:13" x14ac:dyDescent="0.2">
      <c r="F44" s="8"/>
    </row>
    <row r="46" spans="1:13" x14ac:dyDescent="0.2">
      <c r="C46" s="39">
        <v>-1</v>
      </c>
    </row>
    <row r="47" spans="1:13" s="32" customFormat="1" x14ac:dyDescent="0.2">
      <c r="A47" s="32" t="s">
        <v>61</v>
      </c>
    </row>
    <row r="48" spans="1:13" ht="24" x14ac:dyDescent="0.2">
      <c r="F48" s="30" t="s">
        <v>59</v>
      </c>
    </row>
    <row r="49" spans="1:13" ht="36" x14ac:dyDescent="0.25">
      <c r="A49" s="12"/>
      <c r="B49" s="2" t="s">
        <v>68</v>
      </c>
      <c r="C49" s="2" t="s">
        <v>69</v>
      </c>
      <c r="D49" s="2" t="s">
        <v>64</v>
      </c>
      <c r="E49" s="4" t="s">
        <v>65</v>
      </c>
      <c r="F49" s="41" t="s">
        <v>67</v>
      </c>
      <c r="G49" s="4" t="s">
        <v>70</v>
      </c>
    </row>
    <row r="50" spans="1:13" x14ac:dyDescent="0.2">
      <c r="A50" s="12" t="str">
        <f t="shared" ref="A50:A52" si="5">A31</f>
        <v>Блок 1</v>
      </c>
      <c r="B50" s="23">
        <f>B31/(1+$B$18)</f>
        <v>605.00000000000011</v>
      </c>
      <c r="C50" s="16">
        <f>C31+C46</f>
        <v>5</v>
      </c>
      <c r="D50" s="18">
        <f>C50/E14</f>
        <v>0.6</v>
      </c>
      <c r="E50" s="5">
        <f>D50*B50</f>
        <v>363.00000000000006</v>
      </c>
    </row>
    <row r="51" spans="1:13" x14ac:dyDescent="0.2">
      <c r="A51" s="12" t="str">
        <f t="shared" si="5"/>
        <v>Блок 2</v>
      </c>
      <c r="B51" s="23">
        <f>B32/(1+$B$18)</f>
        <v>259.60000000000002</v>
      </c>
      <c r="C51" s="33">
        <f>(B15+C46)*L15</f>
        <v>1.5</v>
      </c>
      <c r="D51" s="18">
        <f>C51/E15</f>
        <v>0.125</v>
      </c>
      <c r="E51" s="5">
        <f t="shared" ref="E51:E52" si="6">D51*B51</f>
        <v>32.450000000000003</v>
      </c>
    </row>
    <row r="52" spans="1:13" x14ac:dyDescent="0.2">
      <c r="A52" s="12" t="str">
        <f t="shared" si="5"/>
        <v>Блок 3</v>
      </c>
      <c r="B52" s="23">
        <f>B33/(1+$B$18)</f>
        <v>428.57142857142856</v>
      </c>
      <c r="C52" s="16">
        <f>C33+C46</f>
        <v>3</v>
      </c>
      <c r="D52" s="18">
        <f>C52/E16</f>
        <v>0.27272727272727271</v>
      </c>
      <c r="E52" s="5">
        <f t="shared" si="6"/>
        <v>116.88311688311687</v>
      </c>
    </row>
    <row r="53" spans="1:13" x14ac:dyDescent="0.2">
      <c r="B53" s="20">
        <f>SUM(B50:B52)</f>
        <v>1293.1714285714288</v>
      </c>
      <c r="E53" s="40">
        <f>SUM(E50:E52)</f>
        <v>512.33311688311687</v>
      </c>
      <c r="G53" s="43">
        <f>E53/B53</f>
        <v>0.39618344912638004</v>
      </c>
    </row>
    <row r="55" spans="1:13" x14ac:dyDescent="0.2">
      <c r="A55" s="48" t="s">
        <v>73</v>
      </c>
      <c r="B55" s="32" t="s">
        <v>61</v>
      </c>
    </row>
    <row r="56" spans="1:13" ht="84" customHeight="1" x14ac:dyDescent="0.2">
      <c r="A56" s="47" t="s">
        <v>74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8" spans="1:13" x14ac:dyDescent="0.2">
      <c r="A58" s="11" t="s">
        <v>75</v>
      </c>
      <c r="C58" s="11" t="str">
        <f>F49</f>
        <v>5.2.1.90</v>
      </c>
    </row>
    <row r="59" spans="1:13" x14ac:dyDescent="0.2">
      <c r="A59" s="11" t="s">
        <v>76</v>
      </c>
    </row>
    <row r="61" spans="1:13" x14ac:dyDescent="0.2">
      <c r="B61" s="11" t="str">
        <f t="shared" ref="B61:D61" si="7">B49</f>
        <v>Стоимость нового год назад с НДС</v>
      </c>
      <c r="C61" s="11" t="str">
        <f t="shared" si="7"/>
        <v>Эффективный возраст год назад</v>
      </c>
      <c r="D61" s="11" t="str">
        <f t="shared" si="7"/>
        <v>Износ год назад</v>
      </c>
      <c r="E61" s="11" t="str">
        <f t="shared" ref="E61" si="8">E49</f>
        <v>Износ год назад, с НДС</v>
      </c>
    </row>
    <row r="62" spans="1:13" x14ac:dyDescent="0.2">
      <c r="A62" s="11" t="str">
        <f t="shared" ref="A62:D64" si="9">A50</f>
        <v>Блок 1</v>
      </c>
      <c r="B62" s="49">
        <f t="shared" si="9"/>
        <v>605.00000000000011</v>
      </c>
      <c r="C62" s="11">
        <f t="shared" si="9"/>
        <v>5</v>
      </c>
      <c r="D62" s="52">
        <f t="shared" si="9"/>
        <v>0.6</v>
      </c>
      <c r="E62" s="49">
        <f t="shared" ref="E62" si="10">E50</f>
        <v>363.00000000000006</v>
      </c>
    </row>
    <row r="63" spans="1:13" x14ac:dyDescent="0.2">
      <c r="A63" s="11" t="str">
        <f t="shared" si="9"/>
        <v>Блок 2</v>
      </c>
      <c r="B63" s="49">
        <f t="shared" si="9"/>
        <v>259.60000000000002</v>
      </c>
      <c r="C63" s="11">
        <f t="shared" si="9"/>
        <v>1.5</v>
      </c>
      <c r="D63" s="52">
        <f t="shared" si="9"/>
        <v>0.125</v>
      </c>
      <c r="E63" s="49">
        <f t="shared" ref="E63" si="11">E51</f>
        <v>32.450000000000003</v>
      </c>
    </row>
    <row r="64" spans="1:13" x14ac:dyDescent="0.2">
      <c r="A64" s="11" t="str">
        <f t="shared" si="9"/>
        <v>Блок 3</v>
      </c>
      <c r="B64" s="49">
        <f t="shared" si="9"/>
        <v>428.57142857142856</v>
      </c>
      <c r="C64" s="11">
        <f t="shared" si="9"/>
        <v>3</v>
      </c>
      <c r="D64" s="52">
        <f t="shared" si="9"/>
        <v>0.27272727272727271</v>
      </c>
      <c r="E64" s="49">
        <f t="shared" ref="E64" si="12">E52</f>
        <v>116.88311688311687</v>
      </c>
    </row>
    <row r="65" spans="2:6" x14ac:dyDescent="0.2">
      <c r="B65" s="20">
        <f>SUM(B62:B64)</f>
        <v>1293.1714285714288</v>
      </c>
      <c r="D65" s="51"/>
      <c r="E65" s="20">
        <f>SUM(E62:E64)</f>
        <v>512.33311688311687</v>
      </c>
      <c r="F65" s="50">
        <f>E65/B65</f>
        <v>0.39618344912638004</v>
      </c>
    </row>
    <row r="66" spans="2:6" ht="24" x14ac:dyDescent="0.2">
      <c r="F66" s="30" t="s">
        <v>59</v>
      </c>
    </row>
    <row r="67" spans="2:6" ht="15.75" x14ac:dyDescent="0.25">
      <c r="F67" s="41" t="s">
        <v>73</v>
      </c>
    </row>
  </sheetData>
  <mergeCells count="18">
    <mergeCell ref="A56:M56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20:M20"/>
    <mergeCell ref="A28:M28"/>
    <mergeCell ref="I29:K29"/>
    <mergeCell ref="H31:H33"/>
    <mergeCell ref="A37:M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2018-04-01T14:19:25Z</dcterms:created>
  <dcterms:modified xsi:type="dcterms:W3CDTF">2021-04-30T16:43:21Z</dcterms:modified>
</cp:coreProperties>
</file>