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Движимое\"/>
    </mc:Choice>
  </mc:AlternateContent>
  <bookViews>
    <workbookView xWindow="0" yWindow="0" windowWidth="24000" windowHeight="9075"/>
  </bookViews>
  <sheets>
    <sheet name="6" sheetId="2" r:id="rId1"/>
    <sheet name="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 s="1"/>
  <c r="D21" i="3"/>
  <c r="E21" i="3" s="1"/>
  <c r="D20" i="3"/>
  <c r="D23" i="3" s="1"/>
  <c r="E22" i="2"/>
  <c r="E21" i="2"/>
  <c r="E20" i="2"/>
  <c r="E23" i="2" s="1"/>
  <c r="C39" i="3"/>
  <c r="D39" i="3" s="1"/>
  <c r="A39" i="3"/>
  <c r="D38" i="3"/>
  <c r="C38" i="3"/>
  <c r="C31" i="3"/>
  <c r="I30" i="3"/>
  <c r="A30" i="3"/>
  <c r="I29" i="3"/>
  <c r="B28" i="3"/>
  <c r="A22" i="3"/>
  <c r="A31" i="3" s="1"/>
  <c r="A21" i="3"/>
  <c r="A38" i="3" s="1"/>
  <c r="C20" i="3"/>
  <c r="A20" i="3"/>
  <c r="A29" i="3" s="1"/>
  <c r="M16" i="3"/>
  <c r="C22" i="3" s="1"/>
  <c r="E16" i="3"/>
  <c r="B22" i="3" s="1"/>
  <c r="M15" i="3"/>
  <c r="C21" i="3" s="1"/>
  <c r="H15" i="3"/>
  <c r="C30" i="3" s="1"/>
  <c r="D30" i="3" s="1"/>
  <c r="M14" i="3"/>
  <c r="H14" i="3"/>
  <c r="B20" i="3" s="1"/>
  <c r="E14" i="3"/>
  <c r="I29" i="2"/>
  <c r="B40" i="2"/>
  <c r="E37" i="2"/>
  <c r="D38" i="2"/>
  <c r="E38" i="2" s="1"/>
  <c r="D39" i="2"/>
  <c r="E39" i="2" s="1"/>
  <c r="D37" i="2"/>
  <c r="C39" i="2"/>
  <c r="C38" i="2"/>
  <c r="C37" i="2"/>
  <c r="B38" i="2"/>
  <c r="B39" i="2"/>
  <c r="B37" i="2"/>
  <c r="B29" i="2"/>
  <c r="B30" i="2"/>
  <c r="B31" i="2"/>
  <c r="B28" i="2"/>
  <c r="A30" i="2"/>
  <c r="A31" i="2"/>
  <c r="A29" i="2"/>
  <c r="I30" i="2"/>
  <c r="E14" i="2"/>
  <c r="C31" i="2"/>
  <c r="A21" i="2"/>
  <c r="A38" i="2" s="1"/>
  <c r="A22" i="2"/>
  <c r="A39" i="2" s="1"/>
  <c r="A20" i="2"/>
  <c r="A37" i="2" s="1"/>
  <c r="M16" i="2"/>
  <c r="M15" i="2"/>
  <c r="C21" i="2" s="1"/>
  <c r="D21" i="2" s="1"/>
  <c r="M14" i="2"/>
  <c r="C20" i="2" s="1"/>
  <c r="D20" i="2" s="1"/>
  <c r="E16" i="2"/>
  <c r="I31" i="2" s="1"/>
  <c r="H15" i="2"/>
  <c r="C30" i="2" s="1"/>
  <c r="D30" i="2" s="1"/>
  <c r="H14" i="2"/>
  <c r="C29" i="2" s="1"/>
  <c r="D29" i="2" s="1"/>
  <c r="E20" i="3" l="1"/>
  <c r="E23" i="3" s="1"/>
  <c r="B29" i="3"/>
  <c r="B37" i="3" s="1"/>
  <c r="J29" i="3"/>
  <c r="B31" i="3"/>
  <c r="B39" i="3" s="1"/>
  <c r="E39" i="3" s="1"/>
  <c r="B30" i="3"/>
  <c r="B38" i="3" s="1"/>
  <c r="E38" i="3" s="1"/>
  <c r="J30" i="3"/>
  <c r="E30" i="3"/>
  <c r="F30" i="3" s="1"/>
  <c r="D31" i="3"/>
  <c r="E31" i="3" s="1"/>
  <c r="F31" i="3" s="1"/>
  <c r="I31" i="3"/>
  <c r="J31" i="3" s="1"/>
  <c r="C29" i="3"/>
  <c r="A37" i="3"/>
  <c r="E40" i="2"/>
  <c r="F40" i="2" s="1"/>
  <c r="C22" i="2"/>
  <c r="D22" i="2" s="1"/>
  <c r="D31" i="2"/>
  <c r="B22" i="2"/>
  <c r="E29" i="2"/>
  <c r="F29" i="2" s="1"/>
  <c r="J29" i="2"/>
  <c r="E30" i="2"/>
  <c r="F30" i="2" s="1"/>
  <c r="J30" i="2"/>
  <c r="D23" i="2"/>
  <c r="B20" i="2"/>
  <c r="J32" i="3" l="1"/>
  <c r="J33" i="3" s="1"/>
  <c r="D29" i="3"/>
  <c r="E29" i="3" s="1"/>
  <c r="C37" i="3"/>
  <c r="D37" i="3" s="1"/>
  <c r="E37" i="3" s="1"/>
  <c r="E40" i="3" s="1"/>
  <c r="B40" i="3"/>
  <c r="E31" i="2"/>
  <c r="F31" i="2" s="1"/>
  <c r="J31" i="2"/>
  <c r="J32" i="2" s="1"/>
  <c r="J33" i="2" s="1"/>
  <c r="E32" i="2"/>
  <c r="F32" i="2"/>
  <c r="G31" i="2" s="1"/>
  <c r="F40" i="3" l="1"/>
  <c r="E32" i="3"/>
  <c r="F29" i="3"/>
  <c r="G29" i="2"/>
  <c r="G30" i="2"/>
  <c r="F32" i="3" l="1"/>
  <c r="G29" i="3" s="1"/>
  <c r="G31" i="3" l="1"/>
  <c r="G30" i="3"/>
</calcChain>
</file>

<file path=xl/sharedStrings.xml><?xml version="1.0" encoding="utf-8"?>
<sst xmlns="http://schemas.openxmlformats.org/spreadsheetml/2006/main" count="120" uniqueCount="62">
  <si>
    <t>без НДС</t>
  </si>
  <si>
    <t>с НДС</t>
  </si>
  <si>
    <t>Блок 1</t>
  </si>
  <si>
    <t>Блок 2</t>
  </si>
  <si>
    <t>Блок 3</t>
  </si>
  <si>
    <t>Сколько лет назад куплен</t>
  </si>
  <si>
    <t>б/у</t>
  </si>
  <si>
    <t>новое</t>
  </si>
  <si>
    <t>В каком состоянии куплен</t>
  </si>
  <si>
    <t>Износ на момент покупки</t>
  </si>
  <si>
    <t xml:space="preserve">Нормативный срок </t>
  </si>
  <si>
    <t>Эффективный возраст на момент покупки</t>
  </si>
  <si>
    <t>Снижение ЭВ после ремонта</t>
  </si>
  <si>
    <t>ЭВ на дату покупи с учетом ремонта</t>
  </si>
  <si>
    <t>НДС</t>
  </si>
  <si>
    <t>Цена покупки, тыс. р.</t>
  </si>
  <si>
    <t>Как изнашивается (скорость, 1 - нормально)</t>
  </si>
  <si>
    <t>Остаточный срок на момент покупки</t>
  </si>
  <si>
    <t>Цена покупки с НДС, тыс. р.</t>
  </si>
  <si>
    <t>Износ на дату покупки, %</t>
  </si>
  <si>
    <t>Стоимость нового, с НДС на дату покупки</t>
  </si>
  <si>
    <t>Эффективный возраст на дату оценки</t>
  </si>
  <si>
    <t>Износ на дату оценки, %</t>
  </si>
  <si>
    <t>Износ в рублях на дату оценки, с НДС</t>
  </si>
  <si>
    <t>это ответ на задачу</t>
  </si>
  <si>
    <t>5.2.1.76</t>
  </si>
  <si>
    <t>Стоимость на дату оценки, с НДС</t>
  </si>
  <si>
    <t>5.2.1.86</t>
  </si>
  <si>
    <t>Доля стоимости каждого блока</t>
  </si>
  <si>
    <t>Среднегодовой износ, %</t>
  </si>
  <si>
    <t>Среднегодовой износ, руб.</t>
  </si>
  <si>
    <t>Решаем задачи «про пряники». Есть модификация про кирпичи. Это неважно.</t>
  </si>
  <si>
    <t>Условие у всех задач примерно одинаковое. Есть отличие в нормативном сроке для 2 блока (5.2.1.77.), но алгоритм решения у всех в целом одинаковый.</t>
  </si>
  <si>
    <t>Что спрашивают? Разное?</t>
  </si>
  <si>
    <t>Этап 1. Составляем таблицу, в которой будет все, что мы знаем про линию. По ходу дела заполняем недостающее (уточненный ЭВ для 1 блока, нормативный срок для 1 и 3 блока, цену покупки с НДС, износ 3 блока на момент покупки – необязательно, но вдруг пригодится).</t>
  </si>
  <si>
    <t>5.2.1.76. Рассчитать износ в рублях (с НДС)</t>
  </si>
  <si>
    <r>
      <t>Итак, на примере условия задачи</t>
    </r>
    <r>
      <rPr>
        <b/>
        <sz val="9"/>
        <color theme="1"/>
        <rFont val="Calibri"/>
        <family val="2"/>
        <charset val="204"/>
        <scheme val="minor"/>
      </rPr>
      <t xml:space="preserve"> 5.2.1.76. </t>
    </r>
    <r>
      <rPr>
        <sz val="9"/>
        <color theme="1"/>
        <rFont val="Calibri"/>
        <family val="2"/>
        <charset val="204"/>
        <scheme val="minor"/>
      </rPr>
      <t>будем решать все задачи сразу.</t>
    </r>
  </si>
  <si>
    <r>
      <t xml:space="preserve">Дано: 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Формовочно-выпечная машина куплена 2 года назад новой, поставлена на баланс по балансовой стоимости 200 тыс.руб., срок службы </t>
    </r>
    <r>
      <rPr>
        <b/>
        <sz val="9"/>
        <color rgb="FFFF0000"/>
        <rFont val="Calibri"/>
        <family val="2"/>
        <charset val="204"/>
        <scheme val="minor"/>
      </rPr>
      <t>6</t>
    </r>
    <r>
      <rPr>
        <sz val="9"/>
        <color theme="1"/>
        <rFont val="Calibri"/>
        <family val="2"/>
        <charset val="204"/>
        <scheme val="minor"/>
      </rPr>
      <t xml:space="preserve"> лет, из-за условий эксплуатации износ машины в 1,5 раза выше обычного. Рыночная стоимость упаковочной линии - 300 тыс. руб. с НДС, она куплена сейчас, эффективный возраст 4 года, остаточный 7 лет. Ежегодный прирост цен 10%. Износ начисляется линейно, функциональное и внешнее устаревание не выявлено.</t>
    </r>
  </si>
  <si>
    <r>
      <t>5.2.1.82.</t>
    </r>
    <r>
      <rPr>
        <sz val="9"/>
        <color rgb="FF222222"/>
        <rFont val="Calibri"/>
        <family val="2"/>
        <charset val="204"/>
        <scheme val="minor"/>
      </rPr>
      <t> Рассчитать средний годовой износ в процентах.</t>
    </r>
  </si>
  <si>
    <r>
      <t xml:space="preserve">5.2.1.83. </t>
    </r>
    <r>
      <rPr>
        <sz val="9"/>
        <color rgb="FF222222"/>
        <rFont val="Calibri"/>
        <family val="2"/>
        <charset val="204"/>
        <scheme val="minor"/>
      </rPr>
      <t>Рассчитать износ в процентах</t>
    </r>
  </si>
  <si>
    <r>
      <t xml:space="preserve">5.2.1.85. </t>
    </r>
    <r>
      <rPr>
        <sz val="9"/>
        <color rgb="FF222222"/>
        <rFont val="Calibri"/>
        <family val="2"/>
        <charset val="204"/>
        <scheme val="minor"/>
      </rPr>
      <t>Рассчитать прогнозный износ в процентах на дату 01.01.2018</t>
    </r>
    <r>
      <rPr>
        <sz val="9"/>
        <color theme="1"/>
        <rFont val="Calibri"/>
        <family val="2"/>
        <charset val="204"/>
        <scheme val="minor"/>
      </rPr>
      <t xml:space="preserve"> (через год после той даты, на которую описано состояние линии)</t>
    </r>
  </si>
  <si>
    <r>
      <t xml:space="preserve">5.2.1.86. </t>
    </r>
    <r>
      <rPr>
        <sz val="9"/>
        <color rgb="FF222222"/>
        <rFont val="Calibri"/>
        <family val="2"/>
        <charset val="204"/>
        <scheme val="minor"/>
      </rPr>
      <t>Рассчитать стоимость замещения (без НДС)</t>
    </r>
  </si>
  <si>
    <r>
      <rPr>
        <b/>
        <sz val="9"/>
        <color theme="1"/>
        <rFont val="Calibri"/>
        <family val="2"/>
        <charset val="204"/>
        <scheme val="minor"/>
      </rPr>
      <t xml:space="preserve">5.2.1.76. </t>
    </r>
    <r>
      <rPr>
        <sz val="9"/>
        <color theme="1"/>
        <rFont val="Calibri"/>
        <family val="2"/>
        <charset val="204"/>
        <scheme val="minor"/>
      </rPr>
      <t xml:space="preserve">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Формовочно-выпечная машина куплена 2 года назад новой, поставлена на баланс по балансовой стоимости 200 тыс.руб., срок службы </t>
    </r>
    <r>
      <rPr>
        <b/>
        <sz val="9"/>
        <color rgb="FFFF0000"/>
        <rFont val="Calibri"/>
        <family val="2"/>
        <charset val="204"/>
        <scheme val="minor"/>
      </rPr>
      <t>6</t>
    </r>
    <r>
      <rPr>
        <sz val="9"/>
        <color theme="1"/>
        <rFont val="Calibri"/>
        <family val="2"/>
        <charset val="204"/>
        <scheme val="minor"/>
      </rPr>
      <t xml:space="preserve"> лет, из-за условий эксплуатации износ машины в 1,5 раза выше обычного. Рыночная стоимость упаковочной линии - 300 тыс. руб. с НДС, она куплена сейчас, эффективный возраст 4 года, остаточный 7 лет. Ежегодный прирост цен 10%. Износ начисляется линейно, функциональное и внешнее устаревание не выявлено. Рассчитать износ в рублях (с НДС)</t>
    </r>
  </si>
  <si>
    <t>Этап 2. Считаем стоимость нового оборудования (рост цен 10% в год)</t>
  </si>
  <si>
    <t>Этап 3. Считаем износ и стоимость на дату оценки</t>
  </si>
  <si>
    <t>здесь можно найти ответ на задачу 5.2.1.77, если заменить ЭВ с 6 на 12 у 2 блока. Сделайте это сами!</t>
  </si>
  <si>
    <t>Этап 3. Считаем износ и стоимость на дату ЧЕРЕЗ год после даты оценки</t>
  </si>
  <si>
    <t>Стоимость нового через год после  даты оценки</t>
  </si>
  <si>
    <t>ЭВ через год после даты оценки</t>
  </si>
  <si>
    <t>Износ через год после даты оценки, %</t>
  </si>
  <si>
    <t>Износ в через год после даты оценк, с НДС</t>
  </si>
  <si>
    <t>5.2.1.85</t>
  </si>
  <si>
    <t>Среднегодовой износ считается несколько криво, но ТАК ЗАСЧИТЫВАЮТ. Будьте внимательны</t>
  </si>
  <si>
    <t>5.2.1.82</t>
  </si>
  <si>
    <t>итого, износ в рублях</t>
  </si>
  <si>
    <t>5.2.1.77</t>
  </si>
  <si>
    <t>проверьте ответ на задачу 5.2.1.77</t>
  </si>
  <si>
    <t>Стоимость нового на дату оценки с НДС</t>
  </si>
  <si>
    <t>Стоимость нового на дату оценки без НДС</t>
  </si>
  <si>
    <t>Этап 4. Считаем износ и стоимость на дату ЧЕРЕЗ год после даты оценки</t>
  </si>
  <si>
    <t xml:space="preserve">это ответ на задачу </t>
  </si>
  <si>
    <r>
      <t xml:space="preserve">5.2.1.86. </t>
    </r>
    <r>
      <rPr>
        <sz val="9"/>
        <color rgb="FF222222"/>
        <rFont val="Calibri"/>
        <family val="2"/>
        <charset val="204"/>
        <scheme val="minor"/>
      </rPr>
      <t>Рассчитать стоимость линии (с НДС)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</si>
</sst>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222222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2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4" workbookViewId="0">
      <selection activeCell="A11" sqref="A11:M11"/>
    </sheetView>
  </sheetViews>
  <sheetFormatPr defaultRowHeight="12" x14ac:dyDescent="0.2"/>
  <cols>
    <col min="1" max="1" width="13.28515625" style="11" customWidth="1"/>
    <col min="2" max="7" width="14.140625" style="11" customWidth="1"/>
    <col min="8" max="8" width="23.85546875" style="11" customWidth="1"/>
    <col min="9" max="12" width="14.140625" style="11" customWidth="1"/>
    <col min="13" max="13" width="17.28515625" style="11" customWidth="1"/>
    <col min="14" max="16384" width="9.140625" style="11"/>
  </cols>
  <sheetData>
    <row r="1" spans="1:13" x14ac:dyDescent="0.2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0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0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0" t="s">
        <v>40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0" t="s">
        <v>61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34.5" customHeight="1" x14ac:dyDescent="0.2">
      <c r="A11" s="31" t="s">
        <v>34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77.25" customHeight="1" x14ac:dyDescent="0.2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48" x14ac:dyDescent="0.2">
      <c r="A13" s="1"/>
      <c r="B13" s="2" t="s">
        <v>5</v>
      </c>
      <c r="C13" s="2" t="s">
        <v>8</v>
      </c>
      <c r="D13" s="2" t="s">
        <v>9</v>
      </c>
      <c r="E13" s="2" t="s">
        <v>10</v>
      </c>
      <c r="F13" s="2" t="s">
        <v>11</v>
      </c>
      <c r="G13" s="2" t="s">
        <v>12</v>
      </c>
      <c r="H13" s="2" t="s">
        <v>13</v>
      </c>
      <c r="I13" s="2" t="s">
        <v>17</v>
      </c>
      <c r="J13" s="2" t="s">
        <v>15</v>
      </c>
      <c r="K13" s="2" t="s">
        <v>14</v>
      </c>
      <c r="L13" s="2" t="s">
        <v>16</v>
      </c>
      <c r="M13" s="2" t="s">
        <v>18</v>
      </c>
    </row>
    <row r="14" spans="1:13" x14ac:dyDescent="0.2">
      <c r="A14" s="1" t="s">
        <v>2</v>
      </c>
      <c r="B14" s="2">
        <v>3</v>
      </c>
      <c r="C14" s="2" t="s">
        <v>6</v>
      </c>
      <c r="D14" s="3">
        <v>0.6</v>
      </c>
      <c r="E14" s="7">
        <f>1/(D14/F14)</f>
        <v>8.3333333333333339</v>
      </c>
      <c r="F14" s="2">
        <v>5</v>
      </c>
      <c r="G14" s="2">
        <v>-2</v>
      </c>
      <c r="H14" s="4">
        <f>F14+G14</f>
        <v>3</v>
      </c>
      <c r="I14" s="2"/>
      <c r="J14" s="2">
        <v>200</v>
      </c>
      <c r="K14" s="2" t="s">
        <v>1</v>
      </c>
      <c r="L14" s="2">
        <v>1</v>
      </c>
      <c r="M14" s="2">
        <f>J14</f>
        <v>200</v>
      </c>
    </row>
    <row r="15" spans="1:13" x14ac:dyDescent="0.2">
      <c r="A15" s="1" t="s">
        <v>3</v>
      </c>
      <c r="B15" s="2">
        <v>2</v>
      </c>
      <c r="C15" s="2" t="s">
        <v>7</v>
      </c>
      <c r="D15" s="2">
        <v>0</v>
      </c>
      <c r="E15" s="2">
        <v>6</v>
      </c>
      <c r="F15" s="2">
        <v>0</v>
      </c>
      <c r="G15" s="2">
        <v>0</v>
      </c>
      <c r="H15" s="2">
        <f t="shared" ref="H15" si="0">F15+G15</f>
        <v>0</v>
      </c>
      <c r="I15" s="2"/>
      <c r="J15" s="2">
        <v>200</v>
      </c>
      <c r="K15" s="2" t="s">
        <v>0</v>
      </c>
      <c r="L15" s="2">
        <v>1.5</v>
      </c>
      <c r="M15" s="2">
        <f>J15*1.18</f>
        <v>236</v>
      </c>
    </row>
    <row r="16" spans="1:13" x14ac:dyDescent="0.2">
      <c r="A16" s="1" t="s">
        <v>4</v>
      </c>
      <c r="B16" s="2">
        <v>0</v>
      </c>
      <c r="C16" s="2" t="s">
        <v>6</v>
      </c>
      <c r="D16" s="2"/>
      <c r="E16" s="4">
        <f>H16+I16</f>
        <v>11</v>
      </c>
      <c r="F16" s="2"/>
      <c r="G16" s="2"/>
      <c r="H16" s="2">
        <v>4</v>
      </c>
      <c r="I16" s="2">
        <v>7</v>
      </c>
      <c r="J16" s="2">
        <v>300</v>
      </c>
      <c r="K16" s="2" t="s">
        <v>1</v>
      </c>
      <c r="L16" s="2">
        <v>1</v>
      </c>
      <c r="M16" s="2">
        <f>J16</f>
        <v>300</v>
      </c>
    </row>
    <row r="17" spans="1:13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">
      <c r="A18" s="31" t="s">
        <v>43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36" x14ac:dyDescent="0.2">
      <c r="A19" s="12"/>
      <c r="B19" s="2" t="s">
        <v>19</v>
      </c>
      <c r="C19" s="2" t="s">
        <v>20</v>
      </c>
      <c r="D19" s="2" t="s">
        <v>57</v>
      </c>
      <c r="E19" s="2" t="s">
        <v>58</v>
      </c>
    </row>
    <row r="20" spans="1:13" x14ac:dyDescent="0.2">
      <c r="A20" s="1" t="str">
        <f>A14</f>
        <v>Блок 1</v>
      </c>
      <c r="B20" s="6">
        <f>H14/E14</f>
        <v>0.36</v>
      </c>
      <c r="C20" s="5">
        <f>M14/(1-D14)</f>
        <v>500</v>
      </c>
      <c r="D20" s="5">
        <f>C20*(1+10%)^B14</f>
        <v>665.50000000000023</v>
      </c>
      <c r="E20" s="5">
        <f>D20/1.18</f>
        <v>563.98305084745789</v>
      </c>
    </row>
    <row r="21" spans="1:13" x14ac:dyDescent="0.2">
      <c r="A21" s="1" t="str">
        <f>A15</f>
        <v>Блок 2</v>
      </c>
      <c r="B21" s="6">
        <v>0</v>
      </c>
      <c r="C21" s="5">
        <f>M15</f>
        <v>236</v>
      </c>
      <c r="D21" s="5">
        <f>C21*(1+10%)^B15</f>
        <v>285.56000000000006</v>
      </c>
      <c r="E21" s="5">
        <f t="shared" ref="E21:E22" si="1">D21/1.18</f>
        <v>242.00000000000006</v>
      </c>
    </row>
    <row r="22" spans="1:13" ht="12.75" thickBot="1" x14ac:dyDescent="0.25">
      <c r="A22" s="1" t="str">
        <f>A16</f>
        <v>Блок 3</v>
      </c>
      <c r="B22" s="6">
        <f>H16/E16</f>
        <v>0.36363636363636365</v>
      </c>
      <c r="C22" s="5">
        <f>M16/(1-H16/E16)</f>
        <v>471.42857142857144</v>
      </c>
      <c r="D22" s="5">
        <f>C22*(1+10%)^B16</f>
        <v>471.42857142857144</v>
      </c>
      <c r="E22" s="5">
        <f t="shared" si="1"/>
        <v>399.5157384987894</v>
      </c>
    </row>
    <row r="23" spans="1:13" ht="12.75" thickBot="1" x14ac:dyDescent="0.25">
      <c r="D23" s="10">
        <f>SUM(D20:D22)</f>
        <v>1422.4885714285717</v>
      </c>
      <c r="E23" s="10">
        <f>SUM(E20:E22)</f>
        <v>1205.4987893462473</v>
      </c>
    </row>
    <row r="24" spans="1:13" x14ac:dyDescent="0.2">
      <c r="F24" s="34"/>
    </row>
    <row r="26" spans="1:13" x14ac:dyDescent="0.2">
      <c r="A26" s="31" t="s">
        <v>44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27.75" customHeight="1" x14ac:dyDescent="0.2">
      <c r="A27" s="22"/>
      <c r="B27" s="22"/>
      <c r="C27" s="22"/>
      <c r="D27" s="22"/>
      <c r="E27" s="22"/>
      <c r="F27" s="22"/>
      <c r="G27" s="22"/>
      <c r="H27" s="22"/>
      <c r="I27" s="33" t="s">
        <v>52</v>
      </c>
      <c r="J27" s="33"/>
      <c r="K27" s="33"/>
      <c r="L27" s="22"/>
      <c r="M27" s="22"/>
    </row>
    <row r="28" spans="1:13" ht="36" x14ac:dyDescent="0.2">
      <c r="A28" s="12"/>
      <c r="B28" s="2" t="str">
        <f>D19</f>
        <v>Стоимость нового на дату оценки с НДС</v>
      </c>
      <c r="C28" s="2" t="s">
        <v>21</v>
      </c>
      <c r="D28" s="8" t="s">
        <v>22</v>
      </c>
      <c r="E28" s="8" t="s">
        <v>23</v>
      </c>
      <c r="F28" s="8" t="s">
        <v>26</v>
      </c>
      <c r="G28" s="8" t="s">
        <v>28</v>
      </c>
      <c r="I28" s="8" t="s">
        <v>29</v>
      </c>
      <c r="J28" s="8" t="s">
        <v>30</v>
      </c>
    </row>
    <row r="29" spans="1:13" x14ac:dyDescent="0.2">
      <c r="A29" s="1" t="str">
        <f>A20</f>
        <v>Блок 1</v>
      </c>
      <c r="B29" s="5">
        <f t="shared" ref="B29:B31" si="2">D20</f>
        <v>665.50000000000023</v>
      </c>
      <c r="C29" s="5">
        <f>(H14+B14)*L14</f>
        <v>6</v>
      </c>
      <c r="D29" s="6">
        <f>C29/E14</f>
        <v>0.72</v>
      </c>
      <c r="E29" s="5">
        <f>D29*D20</f>
        <v>479.16000000000014</v>
      </c>
      <c r="F29" s="5">
        <f>D20-E29</f>
        <v>186.34000000000009</v>
      </c>
      <c r="G29" s="15">
        <f>F29/$F$32</f>
        <v>0.29619150559511709</v>
      </c>
      <c r="H29" s="32" t="s">
        <v>45</v>
      </c>
      <c r="I29" s="18">
        <f>1/E14</f>
        <v>0.12</v>
      </c>
      <c r="J29" s="23">
        <f>I29*D20</f>
        <v>79.860000000000028</v>
      </c>
    </row>
    <row r="30" spans="1:13" x14ac:dyDescent="0.2">
      <c r="A30" s="1" t="str">
        <f t="shared" ref="A30:A31" si="3">A21</f>
        <v>Блок 2</v>
      </c>
      <c r="B30" s="5">
        <f t="shared" si="2"/>
        <v>285.56000000000006</v>
      </c>
      <c r="C30" s="5">
        <f>(H15+B15)*L15</f>
        <v>3</v>
      </c>
      <c r="D30" s="6">
        <f>C30/E15</f>
        <v>0.5</v>
      </c>
      <c r="E30" s="5">
        <f>D30*D21</f>
        <v>142.78000000000003</v>
      </c>
      <c r="F30" s="5">
        <f>D21-E30</f>
        <v>142.78000000000003</v>
      </c>
      <c r="G30" s="15">
        <f>F30/$F$32</f>
        <v>0.22695193285859613</v>
      </c>
      <c r="H30" s="32"/>
      <c r="I30" s="18">
        <f>1/E15</f>
        <v>0.16666666666666666</v>
      </c>
      <c r="J30" s="23">
        <f>I30*D21</f>
        <v>47.593333333333341</v>
      </c>
    </row>
    <row r="31" spans="1:13" ht="20.25" customHeight="1" thickBot="1" x14ac:dyDescent="0.25">
      <c r="A31" s="1" t="str">
        <f t="shared" si="3"/>
        <v>Блок 3</v>
      </c>
      <c r="B31" s="5">
        <f t="shared" si="2"/>
        <v>471.42857142857144</v>
      </c>
      <c r="C31" s="5">
        <f>(H16+B16)*L16</f>
        <v>4</v>
      </c>
      <c r="D31" s="6">
        <f>C31/E16</f>
        <v>0.36363636363636365</v>
      </c>
      <c r="E31" s="9">
        <f>D31*D22</f>
        <v>171.42857142857144</v>
      </c>
      <c r="F31" s="5">
        <f>D22-E31</f>
        <v>300</v>
      </c>
      <c r="G31" s="15">
        <f>F31/$F$32</f>
        <v>0.47685656154628681</v>
      </c>
      <c r="H31" s="32"/>
      <c r="I31" s="18">
        <f>1/E16</f>
        <v>9.0909090909090912E-2</v>
      </c>
      <c r="J31" s="23">
        <f>I31*D22</f>
        <v>42.857142857142861</v>
      </c>
    </row>
    <row r="32" spans="1:13" ht="12.75" thickBot="1" x14ac:dyDescent="0.25">
      <c r="E32" s="10">
        <f>SUM(E29:E31)</f>
        <v>793.36857142857161</v>
      </c>
      <c r="F32" s="10">
        <f>SUM(F29:F31)</f>
        <v>629.12000000000012</v>
      </c>
      <c r="J32" s="19">
        <f>SUM(J29:J31)</f>
        <v>170.31047619047624</v>
      </c>
      <c r="K32" s="11" t="s">
        <v>54</v>
      </c>
    </row>
    <row r="33" spans="1:13" ht="24.75" thickBot="1" x14ac:dyDescent="0.25">
      <c r="E33" s="8" t="s">
        <v>24</v>
      </c>
      <c r="J33" s="21">
        <f>J32/D23</f>
        <v>0.11972713145908613</v>
      </c>
      <c r="K33" s="8" t="s">
        <v>24</v>
      </c>
    </row>
    <row r="34" spans="1:13" x14ac:dyDescent="0.2">
      <c r="E34" s="8" t="s">
        <v>25</v>
      </c>
      <c r="K34" s="8" t="s">
        <v>53</v>
      </c>
    </row>
    <row r="35" spans="1:13" x14ac:dyDescent="0.2">
      <c r="A35" s="31" t="s">
        <v>59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48" x14ac:dyDescent="0.2">
      <c r="A36" s="12"/>
      <c r="B36" s="2" t="s">
        <v>47</v>
      </c>
      <c r="C36" s="2" t="s">
        <v>48</v>
      </c>
      <c r="D36" s="8" t="s">
        <v>49</v>
      </c>
      <c r="E36" s="8" t="s">
        <v>50</v>
      </c>
      <c r="F36" s="8" t="s">
        <v>49</v>
      </c>
    </row>
    <row r="37" spans="1:13" x14ac:dyDescent="0.2">
      <c r="A37" s="1" t="str">
        <f>A20</f>
        <v>Блок 1</v>
      </c>
      <c r="B37" s="5">
        <f>B29*(1+10%)</f>
        <v>732.0500000000003</v>
      </c>
      <c r="C37" s="16">
        <f>C29+1</f>
        <v>7</v>
      </c>
      <c r="D37" s="18">
        <f>C37/E14</f>
        <v>0.84</v>
      </c>
      <c r="E37" s="5">
        <f>D37*B37</f>
        <v>614.92200000000025</v>
      </c>
    </row>
    <row r="38" spans="1:13" x14ac:dyDescent="0.2">
      <c r="A38" s="1" t="str">
        <f>A21</f>
        <v>Блок 2</v>
      </c>
      <c r="B38" s="5">
        <f t="shared" ref="B38:B39" si="4">B30*(1+10%)</f>
        <v>314.1160000000001</v>
      </c>
      <c r="C38" s="17">
        <f>(B15+1)*L15</f>
        <v>4.5</v>
      </c>
      <c r="D38" s="18">
        <f>C38/E15</f>
        <v>0.75</v>
      </c>
      <c r="E38" s="5">
        <f t="shared" ref="E38:E39" si="5">D38*B38</f>
        <v>235.58700000000007</v>
      </c>
    </row>
    <row r="39" spans="1:13" ht="12.75" thickBot="1" x14ac:dyDescent="0.25">
      <c r="A39" s="1" t="str">
        <f>A22</f>
        <v>Блок 3</v>
      </c>
      <c r="B39" s="5">
        <f t="shared" si="4"/>
        <v>518.57142857142867</v>
      </c>
      <c r="C39" s="16">
        <f>C31+1</f>
        <v>5</v>
      </c>
      <c r="D39" s="18">
        <f>C39/E16</f>
        <v>0.45454545454545453</v>
      </c>
      <c r="E39" s="5">
        <f t="shared" si="5"/>
        <v>235.71428571428575</v>
      </c>
    </row>
    <row r="40" spans="1:13" ht="12.75" thickBot="1" x14ac:dyDescent="0.25">
      <c r="B40" s="20">
        <f>SUM(B37:B39)</f>
        <v>1564.7374285714291</v>
      </c>
      <c r="E40" s="20">
        <f>SUM(E37:E39)</f>
        <v>1086.223285714286</v>
      </c>
      <c r="F40" s="21">
        <f>E40/B40</f>
        <v>0.69418885614948445</v>
      </c>
    </row>
    <row r="41" spans="1:13" ht="24" x14ac:dyDescent="0.2">
      <c r="F41" s="8" t="s">
        <v>24</v>
      </c>
    </row>
    <row r="42" spans="1:13" x14ac:dyDescent="0.2">
      <c r="F42" s="8" t="s">
        <v>51</v>
      </c>
    </row>
  </sheetData>
  <mergeCells count="17">
    <mergeCell ref="A18:M18"/>
    <mergeCell ref="A26:M26"/>
    <mergeCell ref="H29:H31"/>
    <mergeCell ref="A35:M35"/>
    <mergeCell ref="I27:K27"/>
    <mergeCell ref="A1:M1"/>
    <mergeCell ref="A2:M2"/>
    <mergeCell ref="A3:M3"/>
    <mergeCell ref="A4:M4"/>
    <mergeCell ref="A5:M5"/>
    <mergeCell ref="A6:M6"/>
    <mergeCell ref="A12:M12"/>
    <mergeCell ref="A7:M7"/>
    <mergeCell ref="A8:M8"/>
    <mergeCell ref="A9:M9"/>
    <mergeCell ref="A10:M10"/>
    <mergeCell ref="A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5" workbookViewId="0">
      <selection activeCell="H40" sqref="H40"/>
    </sheetView>
  </sheetViews>
  <sheetFormatPr defaultRowHeight="12" x14ac:dyDescent="0.2"/>
  <cols>
    <col min="1" max="1" width="13.28515625" style="11" customWidth="1"/>
    <col min="2" max="7" width="14.140625" style="11" customWidth="1"/>
    <col min="8" max="8" width="23.85546875" style="11" customWidth="1"/>
    <col min="9" max="12" width="14.140625" style="11" customWidth="1"/>
    <col min="13" max="13" width="17.28515625" style="11" customWidth="1"/>
    <col min="14" max="16384" width="9.140625" style="11"/>
  </cols>
  <sheetData>
    <row r="1" spans="1:13" x14ac:dyDescent="0.2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0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0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0" t="s">
        <v>39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0" t="s">
        <v>40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0" t="s">
        <v>41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34.5" customHeight="1" x14ac:dyDescent="0.2">
      <c r="A11" s="31" t="s">
        <v>34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ht="77.25" customHeight="1" x14ac:dyDescent="0.2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48" x14ac:dyDescent="0.2">
      <c r="A13" s="1"/>
      <c r="B13" s="2" t="s">
        <v>5</v>
      </c>
      <c r="C13" s="2" t="s">
        <v>8</v>
      </c>
      <c r="D13" s="2" t="s">
        <v>9</v>
      </c>
      <c r="E13" s="2" t="s">
        <v>10</v>
      </c>
      <c r="F13" s="2" t="s">
        <v>11</v>
      </c>
      <c r="G13" s="2" t="s">
        <v>12</v>
      </c>
      <c r="H13" s="2" t="s">
        <v>13</v>
      </c>
      <c r="I13" s="2" t="s">
        <v>17</v>
      </c>
      <c r="J13" s="2" t="s">
        <v>15</v>
      </c>
      <c r="K13" s="2" t="s">
        <v>14</v>
      </c>
      <c r="L13" s="2" t="s">
        <v>16</v>
      </c>
      <c r="M13" s="2" t="s">
        <v>18</v>
      </c>
    </row>
    <row r="14" spans="1:13" x14ac:dyDescent="0.2">
      <c r="A14" s="1" t="s">
        <v>2</v>
      </c>
      <c r="B14" s="2">
        <v>3</v>
      </c>
      <c r="C14" s="2" t="s">
        <v>6</v>
      </c>
      <c r="D14" s="3">
        <v>0.6</v>
      </c>
      <c r="E14" s="7">
        <f>1/(D14/F14)</f>
        <v>8.3333333333333339</v>
      </c>
      <c r="F14" s="2">
        <v>5</v>
      </c>
      <c r="G14" s="2">
        <v>-2</v>
      </c>
      <c r="H14" s="4">
        <f>F14+G14</f>
        <v>3</v>
      </c>
      <c r="I14" s="2"/>
      <c r="J14" s="2">
        <v>200</v>
      </c>
      <c r="K14" s="2" t="s">
        <v>1</v>
      </c>
      <c r="L14" s="2">
        <v>1</v>
      </c>
      <c r="M14" s="2">
        <f>J14</f>
        <v>200</v>
      </c>
    </row>
    <row r="15" spans="1:13" x14ac:dyDescent="0.2">
      <c r="A15" s="1" t="s">
        <v>3</v>
      </c>
      <c r="B15" s="2">
        <v>2</v>
      </c>
      <c r="C15" s="2" t="s">
        <v>7</v>
      </c>
      <c r="D15" s="2">
        <v>0</v>
      </c>
      <c r="E15" s="24">
        <v>12</v>
      </c>
      <c r="F15" s="2">
        <v>0</v>
      </c>
      <c r="G15" s="2">
        <v>0</v>
      </c>
      <c r="H15" s="2">
        <f t="shared" ref="H15" si="0">F15+G15</f>
        <v>0</v>
      </c>
      <c r="I15" s="2"/>
      <c r="J15" s="2">
        <v>200</v>
      </c>
      <c r="K15" s="2" t="s">
        <v>0</v>
      </c>
      <c r="L15" s="2">
        <v>1.5</v>
      </c>
      <c r="M15" s="2">
        <f>J15*1.18</f>
        <v>236</v>
      </c>
    </row>
    <row r="16" spans="1:13" x14ac:dyDescent="0.2">
      <c r="A16" s="1" t="s">
        <v>4</v>
      </c>
      <c r="B16" s="2">
        <v>0</v>
      </c>
      <c r="C16" s="2" t="s">
        <v>6</v>
      </c>
      <c r="D16" s="2"/>
      <c r="E16" s="4">
        <f>H16+I16</f>
        <v>11</v>
      </c>
      <c r="F16" s="2"/>
      <c r="G16" s="2"/>
      <c r="H16" s="2">
        <v>4</v>
      </c>
      <c r="I16" s="2">
        <v>7</v>
      </c>
      <c r="J16" s="2">
        <v>300</v>
      </c>
      <c r="K16" s="2" t="s">
        <v>1</v>
      </c>
      <c r="L16" s="2">
        <v>1</v>
      </c>
      <c r="M16" s="2">
        <f>J16</f>
        <v>300</v>
      </c>
    </row>
    <row r="17" spans="1:13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">
      <c r="A18" s="31" t="s">
        <v>43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36" x14ac:dyDescent="0.2">
      <c r="A19" s="12"/>
      <c r="B19" s="2" t="s">
        <v>19</v>
      </c>
      <c r="C19" s="2" t="s">
        <v>20</v>
      </c>
      <c r="D19" s="2" t="s">
        <v>57</v>
      </c>
      <c r="E19" s="2" t="s">
        <v>58</v>
      </c>
    </row>
    <row r="20" spans="1:13" x14ac:dyDescent="0.2">
      <c r="A20" s="1" t="str">
        <f>A14</f>
        <v>Блок 1</v>
      </c>
      <c r="B20" s="6">
        <f>H14/E14</f>
        <v>0.36</v>
      </c>
      <c r="C20" s="5">
        <f>M14/(1-D14)</f>
        <v>500</v>
      </c>
      <c r="D20" s="5">
        <f>C20*(1+10%)^B14</f>
        <v>665.50000000000023</v>
      </c>
      <c r="E20" s="5">
        <f>D20/1.18</f>
        <v>563.98305084745789</v>
      </c>
    </row>
    <row r="21" spans="1:13" x14ac:dyDescent="0.2">
      <c r="A21" s="1" t="str">
        <f>A15</f>
        <v>Блок 2</v>
      </c>
      <c r="B21" s="6">
        <v>0</v>
      </c>
      <c r="C21" s="5">
        <f>M15</f>
        <v>236</v>
      </c>
      <c r="D21" s="5">
        <f>C21*(1+10%)^B15</f>
        <v>285.56000000000006</v>
      </c>
      <c r="E21" s="5">
        <f t="shared" ref="E21:E22" si="1">D21/1.18</f>
        <v>242.00000000000006</v>
      </c>
    </row>
    <row r="22" spans="1:13" ht="12.75" thickBot="1" x14ac:dyDescent="0.25">
      <c r="A22" s="1" t="str">
        <f>A16</f>
        <v>Блок 3</v>
      </c>
      <c r="B22" s="6">
        <f>H16/E16</f>
        <v>0.36363636363636365</v>
      </c>
      <c r="C22" s="5">
        <f>M16/(1-H16/E16)</f>
        <v>471.42857142857144</v>
      </c>
      <c r="D22" s="5">
        <f>C22*(1+10%)^B16</f>
        <v>471.42857142857144</v>
      </c>
      <c r="E22" s="5">
        <f t="shared" si="1"/>
        <v>399.5157384987894</v>
      </c>
    </row>
    <row r="23" spans="1:13" ht="12.75" thickBot="1" x14ac:dyDescent="0.25">
      <c r="D23" s="10">
        <f>SUM(D20:D22)</f>
        <v>1422.4885714285717</v>
      </c>
      <c r="E23" s="10">
        <f>SUM(E20:E22)</f>
        <v>1205.4987893462473</v>
      </c>
    </row>
    <row r="26" spans="1:13" x14ac:dyDescent="0.2">
      <c r="A26" s="31" t="s">
        <v>44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27.75" customHeight="1" x14ac:dyDescent="0.2">
      <c r="A27" s="22"/>
      <c r="B27" s="22"/>
      <c r="C27" s="22"/>
      <c r="D27" s="22"/>
      <c r="E27" s="22"/>
      <c r="F27" s="22"/>
      <c r="G27" s="22"/>
      <c r="H27" s="22"/>
      <c r="I27" s="33" t="s">
        <v>52</v>
      </c>
      <c r="J27" s="33"/>
      <c r="K27" s="33"/>
      <c r="L27" s="22"/>
      <c r="M27" s="22"/>
    </row>
    <row r="28" spans="1:13" ht="36" x14ac:dyDescent="0.2">
      <c r="A28" s="12"/>
      <c r="B28" s="2" t="str">
        <f>D19</f>
        <v>Стоимость нового на дату оценки с НДС</v>
      </c>
      <c r="C28" s="2" t="s">
        <v>21</v>
      </c>
      <c r="D28" s="8" t="s">
        <v>22</v>
      </c>
      <c r="E28" s="8" t="s">
        <v>23</v>
      </c>
      <c r="F28" s="8" t="s">
        <v>26</v>
      </c>
      <c r="G28" s="8" t="s">
        <v>28</v>
      </c>
      <c r="I28" s="8" t="s">
        <v>29</v>
      </c>
      <c r="J28" s="8" t="s">
        <v>30</v>
      </c>
    </row>
    <row r="29" spans="1:13" x14ac:dyDescent="0.2">
      <c r="A29" s="1" t="str">
        <f>A20</f>
        <v>Блок 1</v>
      </c>
      <c r="B29" s="5">
        <f t="shared" ref="B29:B31" si="2">D20</f>
        <v>665.50000000000023</v>
      </c>
      <c r="C29" s="5">
        <f>(H14+B14)*L14</f>
        <v>6</v>
      </c>
      <c r="D29" s="6">
        <f>C29/E14</f>
        <v>0.72</v>
      </c>
      <c r="E29" s="5">
        <f>D29*D20</f>
        <v>479.16000000000014</v>
      </c>
      <c r="F29" s="5">
        <f>D20-E29</f>
        <v>186.34000000000009</v>
      </c>
      <c r="G29" s="26">
        <f>F29/$F$32</f>
        <v>0.2660061954861459</v>
      </c>
      <c r="H29" s="32" t="s">
        <v>56</v>
      </c>
      <c r="I29" s="18">
        <f>1/E14</f>
        <v>0.12</v>
      </c>
      <c r="J29" s="23">
        <f>I29*D20</f>
        <v>79.860000000000028</v>
      </c>
    </row>
    <row r="30" spans="1:13" x14ac:dyDescent="0.2">
      <c r="A30" s="1" t="str">
        <f t="shared" ref="A30:A31" si="3">A21</f>
        <v>Блок 2</v>
      </c>
      <c r="B30" s="5">
        <f t="shared" si="2"/>
        <v>285.56000000000006</v>
      </c>
      <c r="C30" s="5">
        <f>(H15+B15)*L15</f>
        <v>3</v>
      </c>
      <c r="D30" s="6">
        <f>C30/E15</f>
        <v>0.25</v>
      </c>
      <c r="E30" s="5">
        <f>D30*D21</f>
        <v>71.390000000000015</v>
      </c>
      <c r="F30" s="5">
        <f>D21-E30</f>
        <v>214.17000000000004</v>
      </c>
      <c r="G30" s="26">
        <f>F30/$F$32</f>
        <v>0.30573439351329745</v>
      </c>
      <c r="H30" s="32"/>
      <c r="I30" s="18">
        <f>1/E15</f>
        <v>8.3333333333333329E-2</v>
      </c>
      <c r="J30" s="23">
        <f>I30*D21</f>
        <v>23.79666666666667</v>
      </c>
    </row>
    <row r="31" spans="1:13" ht="20.25" customHeight="1" thickBot="1" x14ac:dyDescent="0.25">
      <c r="A31" s="1" t="str">
        <f t="shared" si="3"/>
        <v>Блок 3</v>
      </c>
      <c r="B31" s="5">
        <f t="shared" si="2"/>
        <v>471.42857142857144</v>
      </c>
      <c r="C31" s="5">
        <f>(H16+B16)*L16</f>
        <v>4</v>
      </c>
      <c r="D31" s="6">
        <f>C31/E16</f>
        <v>0.36363636363636365</v>
      </c>
      <c r="E31" s="9">
        <f>D31*D22</f>
        <v>171.42857142857144</v>
      </c>
      <c r="F31" s="5">
        <f>D22-E31</f>
        <v>300</v>
      </c>
      <c r="G31" s="25">
        <f>F31/$F$32</f>
        <v>0.4282594110005567</v>
      </c>
      <c r="H31" s="32"/>
      <c r="I31" s="18">
        <f>1/E16</f>
        <v>9.0909090909090912E-2</v>
      </c>
      <c r="J31" s="23">
        <f>I31*D22</f>
        <v>42.857142857142861</v>
      </c>
    </row>
    <row r="32" spans="1:13" ht="24.75" thickBot="1" x14ac:dyDescent="0.25">
      <c r="E32" s="10">
        <f>SUM(E29:E31)</f>
        <v>721.97857142857163</v>
      </c>
      <c r="F32" s="36">
        <f>SUM(F29:F31)</f>
        <v>700.5100000000001</v>
      </c>
      <c r="G32" s="8" t="s">
        <v>24</v>
      </c>
      <c r="J32" s="29">
        <f>SUM(J29:J31)</f>
        <v>146.51380952380956</v>
      </c>
      <c r="K32" s="11" t="s">
        <v>54</v>
      </c>
    </row>
    <row r="33" spans="1:13" ht="24.75" thickBot="1" x14ac:dyDescent="0.25">
      <c r="E33" s="8"/>
      <c r="F33" s="35" t="s">
        <v>60</v>
      </c>
      <c r="G33" s="27" t="s">
        <v>55</v>
      </c>
      <c r="J33" s="28">
        <f>J32/D23</f>
        <v>0.10299823314339122</v>
      </c>
      <c r="K33" s="8"/>
    </row>
    <row r="34" spans="1:13" x14ac:dyDescent="0.2">
      <c r="E34" s="8"/>
      <c r="F34" s="8" t="s">
        <v>27</v>
      </c>
      <c r="K34" s="8"/>
    </row>
    <row r="35" spans="1:13" x14ac:dyDescent="0.2">
      <c r="A35" s="31" t="s">
        <v>46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48" x14ac:dyDescent="0.2">
      <c r="A36" s="12"/>
      <c r="B36" s="2" t="s">
        <v>47</v>
      </c>
      <c r="C36" s="2" t="s">
        <v>48</v>
      </c>
      <c r="D36" s="8" t="s">
        <v>49</v>
      </c>
      <c r="E36" s="8" t="s">
        <v>50</v>
      </c>
      <c r="F36" s="8" t="s">
        <v>49</v>
      </c>
    </row>
    <row r="37" spans="1:13" x14ac:dyDescent="0.2">
      <c r="A37" s="1" t="str">
        <f>A20</f>
        <v>Блок 1</v>
      </c>
      <c r="B37" s="5">
        <f>B29*(1+10%)</f>
        <v>732.0500000000003</v>
      </c>
      <c r="C37" s="16">
        <f>C29+1</f>
        <v>7</v>
      </c>
      <c r="D37" s="18">
        <f>C37/E14</f>
        <v>0.84</v>
      </c>
      <c r="E37" s="5">
        <f>D37*B37</f>
        <v>614.92200000000025</v>
      </c>
    </row>
    <row r="38" spans="1:13" x14ac:dyDescent="0.2">
      <c r="A38" s="1" t="str">
        <f>A21</f>
        <v>Блок 2</v>
      </c>
      <c r="B38" s="5">
        <f t="shared" ref="B38:B39" si="4">B30*(1+10%)</f>
        <v>314.1160000000001</v>
      </c>
      <c r="C38" s="17">
        <f>(B15+1)*L15</f>
        <v>4.5</v>
      </c>
      <c r="D38" s="18">
        <f>C38/E15</f>
        <v>0.375</v>
      </c>
      <c r="E38" s="5">
        <f t="shared" ref="E38:E39" si="5">D38*B38</f>
        <v>117.79350000000004</v>
      </c>
    </row>
    <row r="39" spans="1:13" ht="12.75" thickBot="1" x14ac:dyDescent="0.25">
      <c r="A39" s="1" t="str">
        <f>A22</f>
        <v>Блок 3</v>
      </c>
      <c r="B39" s="5">
        <f t="shared" si="4"/>
        <v>518.57142857142867</v>
      </c>
      <c r="C39" s="16">
        <f>C31+1</f>
        <v>5</v>
      </c>
      <c r="D39" s="18">
        <f>C39/E16</f>
        <v>0.45454545454545453</v>
      </c>
      <c r="E39" s="5">
        <f t="shared" si="5"/>
        <v>235.71428571428575</v>
      </c>
    </row>
    <row r="40" spans="1:13" ht="12.75" thickBot="1" x14ac:dyDescent="0.25">
      <c r="B40" s="20">
        <f>SUM(B37:B39)</f>
        <v>1564.7374285714291</v>
      </c>
      <c r="E40" s="20">
        <f>SUM(E37:E39)</f>
        <v>968.42978571428603</v>
      </c>
      <c r="F40" s="21">
        <f>E40/B40</f>
        <v>0.61890881372885753</v>
      </c>
    </row>
    <row r="41" spans="1:13" x14ac:dyDescent="0.2">
      <c r="F41" s="8"/>
    </row>
    <row r="42" spans="1:13" x14ac:dyDescent="0.2">
      <c r="F42" s="8"/>
    </row>
  </sheetData>
  <mergeCells count="17">
    <mergeCell ref="A18:M18"/>
    <mergeCell ref="A26:M26"/>
    <mergeCell ref="I27:K27"/>
    <mergeCell ref="H29:H31"/>
    <mergeCell ref="A35:M3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2018-04-01T14:19:25Z</dcterms:created>
  <dcterms:modified xsi:type="dcterms:W3CDTF">2018-06-11T18:34:53Z</dcterms:modified>
</cp:coreProperties>
</file>